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codeName="{8C4F1C90-05EB-6A55-5F09-09C24B55AC0B}"/>
  <workbookPr codeName="DieseArbeitsmappe"/>
  <bookViews>
    <workbookView xWindow="570" yWindow="165" windowWidth="16395" windowHeight="9465"/>
  </bookViews>
  <sheets>
    <sheet name="Adresse" sheetId="18" r:id="rId1"/>
    <sheet name="Investitionsplan" sheetId="3" r:id="rId2"/>
    <sheet name="Finanzierungsplan" sheetId="4" r:id="rId3"/>
    <sheet name="Kapitaldienst Jahr 1-11" sheetId="6" r:id="rId4"/>
    <sheet name="Sicherheiten" sheetId="5" r:id="rId5"/>
    <sheet name="Private Ausgaben" sheetId="9" r:id="rId6"/>
    <sheet name="Mindestumsatz" sheetId="10" r:id="rId7"/>
    <sheet name="Rentabilitätsvorschau" sheetId="11" r:id="rId8"/>
    <sheet name="Prüfung" sheetId="12" r:id="rId9"/>
    <sheet name="Betriebsmittel" sheetId="14" r:id="rId10"/>
    <sheet name="Liquiditätsplan 1. Jahr" sheetId="15" r:id="rId11"/>
    <sheet name="Liquiditätsplan 2. Jahr " sheetId="16" r:id="rId12"/>
    <sheet name="Schlussbemerkung" sheetId="13" r:id="rId13"/>
  </sheets>
  <definedNames>
    <definedName name="_xlnm.Print_Area" localSheetId="0">Adresse!$A$1:$G$46</definedName>
    <definedName name="_xlnm.Print_Area" localSheetId="2">Finanzierungsplan!$A$1:$I$42</definedName>
    <definedName name="_xlnm.Print_Area" localSheetId="1">Investitionsplan!$A$1:$G$35</definedName>
    <definedName name="_xlnm.Print_Area" localSheetId="3">'Kapitaldienst Jahr 1-11'!$A$1:$M$65</definedName>
    <definedName name="_xlnm.Print_Area" localSheetId="10">'Liquiditätsplan 1. Jahr'!$A$1:$O$37,'Liquiditätsplan 1. Jahr'!$A$39:$O$75</definedName>
    <definedName name="_xlnm.Print_Area" localSheetId="11">'Liquiditätsplan 2. Jahr '!$A$1:$O$37,'Liquiditätsplan 2. Jahr '!$A$39:$O$75</definedName>
    <definedName name="_xlnm.Print_Area" localSheetId="6">Mindestumsatz!$A$1:$E$103</definedName>
    <definedName name="_xlnm.Print_Area" localSheetId="8">Prüfung!$A$1:$H$60</definedName>
    <definedName name="_xlnm.Print_Area" localSheetId="7">Rentabilitätsvorschau!$A$1:$R$61</definedName>
    <definedName name="_xlnm.Print_Area" localSheetId="12">Schlussbemerkung!$A$1:$F$20</definedName>
    <definedName name="_xlnm.Print_Area" localSheetId="4">Sicherheiten!$A$1:$E$59</definedName>
    <definedName name="Laufzeit">Finanzierungsplan!$Q$31</definedName>
    <definedName name="tilgung2" localSheetId="6">Mindestumsatz!$E$22</definedName>
    <definedName name="we" localSheetId="8">Prüfung!$E$33</definedName>
  </definedNames>
  <calcPr calcId="145621"/>
</workbook>
</file>

<file path=xl/calcChain.xml><?xml version="1.0" encoding="utf-8"?>
<calcChain xmlns="http://schemas.openxmlformats.org/spreadsheetml/2006/main">
  <c r="F20" i="14" l="1"/>
  <c r="F28" i="12"/>
  <c r="D28" i="12"/>
  <c r="C28" i="12"/>
  <c r="E27" i="12"/>
  <c r="G27" i="12" s="1"/>
  <c r="H27" i="12" s="1"/>
  <c r="G26" i="12"/>
  <c r="H26" i="12" s="1"/>
  <c r="E26" i="12"/>
  <c r="E25" i="12"/>
  <c r="G25" i="12" s="1"/>
  <c r="H25" i="12" s="1"/>
  <c r="E24" i="12"/>
  <c r="G24" i="12" s="1"/>
  <c r="H24" i="12" s="1"/>
  <c r="E23" i="12"/>
  <c r="G23" i="12" s="1"/>
  <c r="H23" i="12" s="1"/>
  <c r="G22" i="12"/>
  <c r="H22" i="12" s="1"/>
  <c r="E22" i="12"/>
  <c r="E21" i="12"/>
  <c r="G21" i="12" s="1"/>
  <c r="H21" i="12" s="1"/>
  <c r="E20" i="12"/>
  <c r="G20" i="12" s="1"/>
  <c r="H20" i="12" s="1"/>
  <c r="E19" i="12"/>
  <c r="G19" i="12" s="1"/>
  <c r="H19" i="12" s="1"/>
  <c r="G18" i="12"/>
  <c r="H18" i="12" s="1"/>
  <c r="E18" i="12"/>
  <c r="E17" i="12"/>
  <c r="G17" i="12" s="1"/>
  <c r="H17" i="12" s="1"/>
  <c r="E16" i="12"/>
  <c r="G16" i="12" s="1"/>
  <c r="H16" i="12" s="1"/>
  <c r="E15" i="12"/>
  <c r="G15" i="12" s="1"/>
  <c r="H15" i="12" s="1"/>
  <c r="G14" i="12"/>
  <c r="H14" i="12" s="1"/>
  <c r="E14" i="12"/>
  <c r="E13" i="12"/>
  <c r="E28" i="12" s="1"/>
  <c r="G13" i="12" l="1"/>
  <c r="B43" i="5"/>
  <c r="B42" i="5"/>
  <c r="B41" i="5"/>
  <c r="B40" i="5"/>
  <c r="B36" i="5"/>
  <c r="B37" i="5"/>
  <c r="B38" i="5"/>
  <c r="B39" i="5"/>
  <c r="B35" i="5"/>
  <c r="B26" i="5"/>
  <c r="B27" i="5"/>
  <c r="B28" i="5"/>
  <c r="B29" i="5"/>
  <c r="B30" i="5"/>
  <c r="B31" i="5"/>
  <c r="B32" i="5"/>
  <c r="B33" i="5"/>
  <c r="B34" i="5"/>
  <c r="B25" i="5"/>
  <c r="H13" i="12" l="1"/>
  <c r="H28" i="12" s="1"/>
  <c r="G28" i="12"/>
  <c r="C20" i="11"/>
  <c r="A7" i="5"/>
  <c r="A43" i="5"/>
  <c r="A41" i="5"/>
  <c r="A42" i="5"/>
  <c r="E39" i="10"/>
  <c r="F32" i="3"/>
  <c r="F20" i="3"/>
  <c r="P14" i="12" l="1"/>
  <c r="P18" i="12"/>
  <c r="P22" i="12"/>
  <c r="P25" i="12"/>
  <c r="Q25" i="12" s="1"/>
  <c r="Q14" i="12"/>
  <c r="Q18" i="12"/>
  <c r="Q22" i="12"/>
  <c r="O28" i="12"/>
  <c r="L28" i="12"/>
  <c r="M28" i="12"/>
  <c r="N27" i="12"/>
  <c r="P27" i="12" s="1"/>
  <c r="Q27" i="12" s="1"/>
  <c r="N26" i="12"/>
  <c r="P26" i="12" s="1"/>
  <c r="Q26" i="12" s="1"/>
  <c r="N25" i="12"/>
  <c r="N24" i="12"/>
  <c r="P24" i="12" s="1"/>
  <c r="Q24" i="12" s="1"/>
  <c r="N23" i="12"/>
  <c r="P23" i="12" s="1"/>
  <c r="Q23" i="12" s="1"/>
  <c r="N22" i="12"/>
  <c r="N21" i="12"/>
  <c r="P21" i="12" s="1"/>
  <c r="Q21" i="12" s="1"/>
  <c r="N20" i="12"/>
  <c r="P20" i="12" s="1"/>
  <c r="Q20" i="12" s="1"/>
  <c r="N19" i="12"/>
  <c r="P19" i="12" s="1"/>
  <c r="Q19" i="12" s="1"/>
  <c r="N18" i="12"/>
  <c r="N17" i="12"/>
  <c r="P17" i="12" s="1"/>
  <c r="Q17" i="12" s="1"/>
  <c r="N16" i="12"/>
  <c r="P16" i="12" s="1"/>
  <c r="Q16" i="12" s="1"/>
  <c r="N15" i="12"/>
  <c r="P15" i="12" s="1"/>
  <c r="Q15" i="12" s="1"/>
  <c r="N14" i="12"/>
  <c r="N13" i="12"/>
  <c r="A8" i="13"/>
  <c r="N26" i="11"/>
  <c r="N10" i="15"/>
  <c r="AE20" i="16"/>
  <c r="AF20" i="16" s="1"/>
  <c r="AE19" i="16"/>
  <c r="AF19" i="16"/>
  <c r="D5" i="15"/>
  <c r="R8" i="15"/>
  <c r="AE19" i="15"/>
  <c r="AF19" i="15"/>
  <c r="D17" i="15"/>
  <c r="AE20" i="15"/>
  <c r="AF20" i="15" s="1"/>
  <c r="D51" i="10"/>
  <c r="D52" i="10"/>
  <c r="D53" i="10"/>
  <c r="D54" i="10"/>
  <c r="D55" i="10"/>
  <c r="A9" i="5"/>
  <c r="A10" i="5"/>
  <c r="C7" i="6"/>
  <c r="Q25" i="4"/>
  <c r="Q36" i="4" s="1"/>
  <c r="C24" i="6" s="1"/>
  <c r="A5" i="13"/>
  <c r="E20" i="13" s="1"/>
  <c r="A6" i="13"/>
  <c r="A7" i="13"/>
  <c r="A4" i="13"/>
  <c r="Q34" i="4"/>
  <c r="R34" i="4" s="1"/>
  <c r="S34" i="4" s="1"/>
  <c r="T34" i="4" s="1"/>
  <c r="U34" i="4" s="1"/>
  <c r="V34" i="4" s="1"/>
  <c r="W34" i="4" s="1"/>
  <c r="X34" i="4" s="1"/>
  <c r="Y34" i="4" s="1"/>
  <c r="Z34" i="4" s="1"/>
  <c r="AA34" i="4" s="1"/>
  <c r="AB34" i="4" s="1"/>
  <c r="AC34" i="4" s="1"/>
  <c r="AD34" i="4" s="1"/>
  <c r="AE34" i="4" s="1"/>
  <c r="AF34" i="4" s="1"/>
  <c r="AG34" i="4" s="1"/>
  <c r="AH34" i="4" s="1"/>
  <c r="AI34" i="4" s="1"/>
  <c r="AJ34" i="4" s="1"/>
  <c r="AK34" i="4" s="1"/>
  <c r="AL34" i="4" s="1"/>
  <c r="AM34" i="4" s="1"/>
  <c r="AN34" i="4" s="1"/>
  <c r="AO34" i="4" s="1"/>
  <c r="AP34" i="4" s="1"/>
  <c r="AQ34" i="4" s="1"/>
  <c r="AR34" i="4" s="1"/>
  <c r="Q27" i="4"/>
  <c r="Q28" i="4"/>
  <c r="Q31" i="4" s="1"/>
  <c r="D49" i="10"/>
  <c r="E41" i="5"/>
  <c r="E40" i="5"/>
  <c r="E39" i="5"/>
  <c r="E38" i="5"/>
  <c r="A35" i="5"/>
  <c r="E37" i="5"/>
  <c r="E36" i="5"/>
  <c r="E35" i="5"/>
  <c r="E33" i="5"/>
  <c r="E32" i="5"/>
  <c r="E31" i="5"/>
  <c r="E30" i="5"/>
  <c r="E29" i="5"/>
  <c r="E28" i="5"/>
  <c r="D78" i="10"/>
  <c r="E97" i="10"/>
  <c r="E98" i="10"/>
  <c r="N48" i="11"/>
  <c r="C55" i="11" s="1"/>
  <c r="A34" i="5"/>
  <c r="A32" i="5"/>
  <c r="A29" i="5"/>
  <c r="O46" i="12"/>
  <c r="M46" i="12"/>
  <c r="E33" i="12"/>
  <c r="O8" i="11"/>
  <c r="D15" i="11"/>
  <c r="C15" i="11" s="1"/>
  <c r="N20" i="11"/>
  <c r="AB20" i="16"/>
  <c r="Z20" i="16"/>
  <c r="L56" i="16"/>
  <c r="X20" i="16"/>
  <c r="V20" i="16"/>
  <c r="H56" i="16" s="1"/>
  <c r="T20" i="16"/>
  <c r="R20" i="16"/>
  <c r="D56" i="16" s="1"/>
  <c r="AB9" i="16"/>
  <c r="Z9" i="16"/>
  <c r="X9" i="16"/>
  <c r="V9" i="16"/>
  <c r="T9" i="16"/>
  <c r="R9" i="16"/>
  <c r="R8" i="16"/>
  <c r="AB19" i="16"/>
  <c r="Z19" i="16"/>
  <c r="X19" i="16"/>
  <c r="J55" i="16"/>
  <c r="V19" i="16"/>
  <c r="H55" i="16" s="1"/>
  <c r="J51" i="16" s="1"/>
  <c r="T19" i="16"/>
  <c r="F55" i="16" s="1"/>
  <c r="R19" i="16"/>
  <c r="AB8" i="16"/>
  <c r="N17" i="16" s="1"/>
  <c r="Z8" i="16"/>
  <c r="L17" i="16" s="1"/>
  <c r="X8" i="16"/>
  <c r="J17" i="16" s="1"/>
  <c r="V8" i="16"/>
  <c r="T8" i="16"/>
  <c r="F17" i="16" s="1"/>
  <c r="N52" i="16"/>
  <c r="L52" i="16"/>
  <c r="J52" i="16"/>
  <c r="H52" i="16"/>
  <c r="F52" i="16"/>
  <c r="D52" i="16"/>
  <c r="D14" i="16"/>
  <c r="N49" i="16"/>
  <c r="L49" i="16"/>
  <c r="J49" i="16"/>
  <c r="H49" i="16"/>
  <c r="F49" i="16"/>
  <c r="D49" i="16"/>
  <c r="D11" i="16"/>
  <c r="N48" i="16"/>
  <c r="L48" i="16"/>
  <c r="J48" i="16"/>
  <c r="H48" i="16"/>
  <c r="F48" i="16"/>
  <c r="D48" i="16"/>
  <c r="D10" i="16"/>
  <c r="N14" i="16"/>
  <c r="L14" i="16"/>
  <c r="J14" i="16"/>
  <c r="H14" i="16"/>
  <c r="F14" i="16"/>
  <c r="N11" i="16"/>
  <c r="L11" i="16"/>
  <c r="J11" i="16"/>
  <c r="H11" i="16"/>
  <c r="F11" i="16"/>
  <c r="N10" i="16"/>
  <c r="L10" i="16"/>
  <c r="J10" i="16"/>
  <c r="H10" i="16"/>
  <c r="F10" i="16"/>
  <c r="N43" i="15"/>
  <c r="AB20" i="15"/>
  <c r="N56" i="15" s="1"/>
  <c r="Z20" i="15"/>
  <c r="X20" i="15"/>
  <c r="V20" i="15"/>
  <c r="T20" i="15"/>
  <c r="R20" i="15"/>
  <c r="AB9" i="15"/>
  <c r="N18" i="15" s="1"/>
  <c r="Z9" i="15"/>
  <c r="X9" i="15"/>
  <c r="V9" i="15"/>
  <c r="T9" i="15"/>
  <c r="R9" i="15"/>
  <c r="D18" i="15" s="1"/>
  <c r="AB19" i="15"/>
  <c r="N55" i="15" s="1"/>
  <c r="Z19" i="15"/>
  <c r="X19" i="15"/>
  <c r="V19" i="15"/>
  <c r="T19" i="15"/>
  <c r="R19" i="15"/>
  <c r="D55" i="15" s="1"/>
  <c r="F51" i="15" s="1"/>
  <c r="AB8" i="15"/>
  <c r="N17" i="15" s="1"/>
  <c r="Z8" i="15"/>
  <c r="L17" i="15" s="1"/>
  <c r="N13" i="15" s="1"/>
  <c r="X8" i="15"/>
  <c r="J17" i="15" s="1"/>
  <c r="L13" i="15" s="1"/>
  <c r="V8" i="15"/>
  <c r="T8" i="15"/>
  <c r="F17" i="15" s="1"/>
  <c r="N5" i="15"/>
  <c r="E75" i="16"/>
  <c r="G75" i="16"/>
  <c r="I75" i="16" s="1"/>
  <c r="K75" i="16" s="1"/>
  <c r="M75" i="16" s="1"/>
  <c r="O75" i="16" s="1"/>
  <c r="E74" i="16"/>
  <c r="G74" i="16"/>
  <c r="I74" i="16" s="1"/>
  <c r="K74" i="16" s="1"/>
  <c r="M74" i="16" s="1"/>
  <c r="O74" i="16" s="1"/>
  <c r="D74" i="16"/>
  <c r="F74" i="16"/>
  <c r="H74" i="16" s="1"/>
  <c r="J74" i="16" s="1"/>
  <c r="L74" i="16" s="1"/>
  <c r="N74" i="16" s="1"/>
  <c r="O60" i="16"/>
  <c r="M60" i="16"/>
  <c r="M61" i="16" s="1"/>
  <c r="M72" i="16" s="1"/>
  <c r="K60" i="16"/>
  <c r="I60" i="16"/>
  <c r="G60" i="16"/>
  <c r="E60" i="16"/>
  <c r="B59" i="16"/>
  <c r="B57" i="16"/>
  <c r="B56" i="16"/>
  <c r="B55" i="16"/>
  <c r="O53" i="16"/>
  <c r="O61" i="16" s="1"/>
  <c r="O72" i="16" s="1"/>
  <c r="M53" i="16"/>
  <c r="K53" i="16"/>
  <c r="K61" i="16" s="1"/>
  <c r="K72" i="16" s="1"/>
  <c r="I53" i="16"/>
  <c r="I61" i="16" s="1"/>
  <c r="I72" i="16" s="1"/>
  <c r="G53" i="16"/>
  <c r="G61" i="16" s="1"/>
  <c r="G72" i="16" s="1"/>
  <c r="E53" i="16"/>
  <c r="E61" i="16" s="1"/>
  <c r="E72" i="16" s="1"/>
  <c r="B52" i="16"/>
  <c r="F51" i="16"/>
  <c r="B50" i="16"/>
  <c r="B49" i="16"/>
  <c r="B48" i="16"/>
  <c r="B47" i="16"/>
  <c r="B46" i="16"/>
  <c r="N43" i="16"/>
  <c r="L43" i="16"/>
  <c r="J43" i="16"/>
  <c r="H43" i="16"/>
  <c r="F43" i="16"/>
  <c r="D43" i="16"/>
  <c r="E37" i="16"/>
  <c r="G37" i="16"/>
  <c r="I37" i="16" s="1"/>
  <c r="K37" i="16" s="1"/>
  <c r="M37" i="16" s="1"/>
  <c r="O37" i="16" s="1"/>
  <c r="D37" i="16"/>
  <c r="F37" i="16" s="1"/>
  <c r="H37" i="16" s="1"/>
  <c r="J37" i="16" s="1"/>
  <c r="L37" i="16" s="1"/>
  <c r="N37" i="16" s="1"/>
  <c r="D75" i="16" s="1"/>
  <c r="F75" i="16" s="1"/>
  <c r="H75" i="16" s="1"/>
  <c r="J75" i="16" s="1"/>
  <c r="L75" i="16" s="1"/>
  <c r="N75" i="16" s="1"/>
  <c r="E36" i="16"/>
  <c r="G36" i="16" s="1"/>
  <c r="I36" i="16" s="1"/>
  <c r="K36" i="16" s="1"/>
  <c r="M36" i="16" s="1"/>
  <c r="O36" i="16" s="1"/>
  <c r="D36" i="16"/>
  <c r="F36" i="16"/>
  <c r="H36" i="16" s="1"/>
  <c r="J36" i="16" s="1"/>
  <c r="L36" i="16" s="1"/>
  <c r="N36" i="16" s="1"/>
  <c r="E35" i="16"/>
  <c r="G35" i="16" s="1"/>
  <c r="I35" i="16" s="1"/>
  <c r="K35" i="16" s="1"/>
  <c r="M35" i="16" s="1"/>
  <c r="O35" i="16" s="1"/>
  <c r="E73" i="16" s="1"/>
  <c r="G73" i="16" s="1"/>
  <c r="I73" i="16" s="1"/>
  <c r="K73" i="16" s="1"/>
  <c r="M73" i="16" s="1"/>
  <c r="O73" i="16" s="1"/>
  <c r="D35" i="16"/>
  <c r="F35" i="16" s="1"/>
  <c r="H35" i="16" s="1"/>
  <c r="J35" i="16" s="1"/>
  <c r="L35" i="16" s="1"/>
  <c r="N35" i="16" s="1"/>
  <c r="D73" i="16" s="1"/>
  <c r="F73" i="16" s="1"/>
  <c r="H73" i="16" s="1"/>
  <c r="J73" i="16" s="1"/>
  <c r="L73" i="16" s="1"/>
  <c r="N73" i="16" s="1"/>
  <c r="O22" i="16"/>
  <c r="M22" i="16"/>
  <c r="K22" i="16"/>
  <c r="I22" i="16"/>
  <c r="G22" i="16"/>
  <c r="E22" i="16"/>
  <c r="E23" i="16" s="1"/>
  <c r="E34" i="16" s="1"/>
  <c r="N56" i="16"/>
  <c r="J56" i="16"/>
  <c r="F56" i="16"/>
  <c r="L55" i="16"/>
  <c r="D55" i="16"/>
  <c r="O15" i="16"/>
  <c r="O23" i="16" s="1"/>
  <c r="O34" i="16" s="1"/>
  <c r="M15" i="16"/>
  <c r="K15" i="16"/>
  <c r="K23" i="16" s="1"/>
  <c r="K34" i="16" s="1"/>
  <c r="I15" i="16"/>
  <c r="G15" i="16"/>
  <c r="G23" i="16"/>
  <c r="G34" i="16" s="1"/>
  <c r="E15" i="16"/>
  <c r="N18" i="16"/>
  <c r="L18" i="16"/>
  <c r="J18" i="16"/>
  <c r="H18" i="16"/>
  <c r="F18" i="16"/>
  <c r="D18" i="16"/>
  <c r="H17" i="16"/>
  <c r="D17" i="16"/>
  <c r="N5" i="16"/>
  <c r="L5" i="16"/>
  <c r="J5" i="16"/>
  <c r="H5" i="16"/>
  <c r="F5" i="16"/>
  <c r="D5" i="16"/>
  <c r="H39" i="16"/>
  <c r="E75" i="15"/>
  <c r="G75" i="15" s="1"/>
  <c r="I75" i="15" s="1"/>
  <c r="K75" i="15" s="1"/>
  <c r="M75" i="15" s="1"/>
  <c r="O75" i="15" s="1"/>
  <c r="E74" i="15"/>
  <c r="G74" i="15" s="1"/>
  <c r="I74" i="15" s="1"/>
  <c r="K74" i="15" s="1"/>
  <c r="M74" i="15" s="1"/>
  <c r="O74" i="15" s="1"/>
  <c r="D74" i="15"/>
  <c r="F74" i="15" s="1"/>
  <c r="H74" i="15" s="1"/>
  <c r="J74" i="15" s="1"/>
  <c r="L74" i="15" s="1"/>
  <c r="N74" i="15" s="1"/>
  <c r="O60" i="15"/>
  <c r="M60" i="15"/>
  <c r="K60" i="15"/>
  <c r="I60" i="15"/>
  <c r="G60" i="15"/>
  <c r="B59" i="15"/>
  <c r="E58" i="15"/>
  <c r="E60" i="15" s="1"/>
  <c r="B57" i="15"/>
  <c r="B56" i="15"/>
  <c r="B55" i="15"/>
  <c r="O53" i="15"/>
  <c r="O61" i="15"/>
  <c r="O72" i="15" s="1"/>
  <c r="M53" i="15"/>
  <c r="M61" i="15" s="1"/>
  <c r="M72" i="15" s="1"/>
  <c r="K53" i="15"/>
  <c r="K61" i="15" s="1"/>
  <c r="K72" i="15" s="1"/>
  <c r="I53" i="15"/>
  <c r="I61" i="15" s="1"/>
  <c r="I72" i="15" s="1"/>
  <c r="G53" i="15"/>
  <c r="G61" i="15"/>
  <c r="G72" i="15" s="1"/>
  <c r="E53" i="15"/>
  <c r="B52" i="15"/>
  <c r="B50" i="15"/>
  <c r="B49" i="15"/>
  <c r="B48" i="15"/>
  <c r="B47" i="15"/>
  <c r="B46" i="15"/>
  <c r="L43" i="15"/>
  <c r="J43" i="15"/>
  <c r="H43" i="15"/>
  <c r="F43" i="15"/>
  <c r="D43" i="15"/>
  <c r="E37" i="15"/>
  <c r="G37" i="15"/>
  <c r="I37" i="15" s="1"/>
  <c r="K37" i="15" s="1"/>
  <c r="M37" i="15" s="1"/>
  <c r="O37" i="15" s="1"/>
  <c r="D37" i="15"/>
  <c r="F37" i="15"/>
  <c r="H37" i="15" s="1"/>
  <c r="J37" i="15" s="1"/>
  <c r="L37" i="15" s="1"/>
  <c r="N37" i="15" s="1"/>
  <c r="D75" i="15" s="1"/>
  <c r="F75" i="15" s="1"/>
  <c r="H75" i="15" s="1"/>
  <c r="J75" i="15" s="1"/>
  <c r="L75" i="15" s="1"/>
  <c r="N75" i="15" s="1"/>
  <c r="E36" i="15"/>
  <c r="G36" i="15"/>
  <c r="I36" i="15" s="1"/>
  <c r="K36" i="15" s="1"/>
  <c r="M36" i="15" s="1"/>
  <c r="O36" i="15" s="1"/>
  <c r="D36" i="15"/>
  <c r="F36" i="15"/>
  <c r="H36" i="15" s="1"/>
  <c r="J36" i="15" s="1"/>
  <c r="L36" i="15" s="1"/>
  <c r="N36" i="15" s="1"/>
  <c r="E35" i="15"/>
  <c r="G35" i="15"/>
  <c r="I35" i="15" s="1"/>
  <c r="K35" i="15" s="1"/>
  <c r="M35" i="15" s="1"/>
  <c r="O35" i="15" s="1"/>
  <c r="E73" i="15" s="1"/>
  <c r="G73" i="15" s="1"/>
  <c r="I73" i="15" s="1"/>
  <c r="K73" i="15" s="1"/>
  <c r="M73" i="15" s="1"/>
  <c r="O73" i="15" s="1"/>
  <c r="D35" i="15"/>
  <c r="F35" i="15"/>
  <c r="H35" i="15" s="1"/>
  <c r="J35" i="15" s="1"/>
  <c r="L35" i="15" s="1"/>
  <c r="N35" i="15" s="1"/>
  <c r="D73" i="15" s="1"/>
  <c r="F73" i="15" s="1"/>
  <c r="H73" i="15" s="1"/>
  <c r="J73" i="15" s="1"/>
  <c r="L73" i="15" s="1"/>
  <c r="N73" i="15" s="1"/>
  <c r="O22" i="15"/>
  <c r="M22" i="15"/>
  <c r="K22" i="15"/>
  <c r="I22" i="15"/>
  <c r="G22" i="15"/>
  <c r="E22" i="15"/>
  <c r="L56" i="15"/>
  <c r="J56" i="15"/>
  <c r="H56" i="15"/>
  <c r="F56" i="15"/>
  <c r="D56" i="15"/>
  <c r="L55" i="15"/>
  <c r="J55" i="15"/>
  <c r="H55" i="15"/>
  <c r="F55" i="15"/>
  <c r="H51" i="15" s="1"/>
  <c r="O15" i="15"/>
  <c r="O23" i="15" s="1"/>
  <c r="O34" i="15" s="1"/>
  <c r="M15" i="15"/>
  <c r="M23" i="15" s="1"/>
  <c r="M34" i="15" s="1"/>
  <c r="K15" i="15"/>
  <c r="K23" i="15"/>
  <c r="K34" i="15" s="1"/>
  <c r="I15" i="15"/>
  <c r="G15" i="15"/>
  <c r="G23" i="15" s="1"/>
  <c r="G34" i="15" s="1"/>
  <c r="E15" i="15"/>
  <c r="E23" i="15" s="1"/>
  <c r="E34" i="15" s="1"/>
  <c r="L18" i="15"/>
  <c r="J18" i="15"/>
  <c r="H18" i="15"/>
  <c r="F18" i="15"/>
  <c r="H17" i="15"/>
  <c r="J13" i="15"/>
  <c r="L5" i="15"/>
  <c r="J5" i="15"/>
  <c r="H5" i="15"/>
  <c r="F5" i="15"/>
  <c r="H39" i="15"/>
  <c r="N45" i="12"/>
  <c r="P45" i="12" s="1"/>
  <c r="Q45" i="12" s="1"/>
  <c r="N44" i="12"/>
  <c r="P44" i="12" s="1"/>
  <c r="Q44" i="12" s="1"/>
  <c r="L46" i="12"/>
  <c r="N42" i="12"/>
  <c r="C43" i="12"/>
  <c r="F42" i="12"/>
  <c r="F41" i="12"/>
  <c r="F44" i="12" s="1"/>
  <c r="E30" i="12"/>
  <c r="G30" i="12" s="1"/>
  <c r="H30" i="12" s="1"/>
  <c r="L40" i="11"/>
  <c r="A47" i="11"/>
  <c r="I44" i="11"/>
  <c r="F44" i="11"/>
  <c r="C44" i="11"/>
  <c r="I20" i="11"/>
  <c r="J33" i="11" s="1"/>
  <c r="F20" i="11"/>
  <c r="C5" i="14"/>
  <c r="G15" i="11"/>
  <c r="J15" i="11" s="1"/>
  <c r="I15" i="11" s="1"/>
  <c r="B89" i="10"/>
  <c r="E88" i="10"/>
  <c r="B91" i="10" s="1"/>
  <c r="D50" i="10"/>
  <c r="D48" i="10"/>
  <c r="D47" i="10"/>
  <c r="D14" i="10"/>
  <c r="C55" i="9"/>
  <c r="C13" i="10" s="1"/>
  <c r="D13" i="10" s="1"/>
  <c r="C45" i="9"/>
  <c r="D45" i="9" s="1"/>
  <c r="C33" i="9"/>
  <c r="D33" i="9" s="1"/>
  <c r="C25" i="9"/>
  <c r="D25" i="9" s="1"/>
  <c r="C15" i="9"/>
  <c r="C5" i="9"/>
  <c r="A40" i="5"/>
  <c r="A39" i="5"/>
  <c r="A38" i="5"/>
  <c r="A37" i="5"/>
  <c r="A36" i="5"/>
  <c r="A33" i="5"/>
  <c r="A31" i="5"/>
  <c r="A30" i="5"/>
  <c r="A28" i="5"/>
  <c r="A27" i="5"/>
  <c r="A26" i="5"/>
  <c r="A25" i="5"/>
  <c r="E43" i="5"/>
  <c r="E42" i="5"/>
  <c r="E34" i="5"/>
  <c r="E27" i="5"/>
  <c r="E25" i="5"/>
  <c r="B15" i="5"/>
  <c r="C15" i="5" s="1"/>
  <c r="C18" i="4" s="1"/>
  <c r="B14" i="5"/>
  <c r="C14" i="5" s="1"/>
  <c r="B13" i="5"/>
  <c r="C13" i="5" s="1"/>
  <c r="C16" i="4" s="1"/>
  <c r="A17" i="5"/>
  <c r="A15" i="5"/>
  <c r="A14" i="5"/>
  <c r="A13" i="5"/>
  <c r="A12" i="5"/>
  <c r="C16" i="5"/>
  <c r="E16" i="5" s="1"/>
  <c r="J51" i="15"/>
  <c r="L51" i="15"/>
  <c r="N51" i="15"/>
  <c r="P42" i="12"/>
  <c r="Q42" i="12" s="1"/>
  <c r="N43" i="12"/>
  <c r="P43" i="12" s="1"/>
  <c r="F15" i="11"/>
  <c r="D8" i="16" s="1"/>
  <c r="G24" i="11"/>
  <c r="G27" i="11"/>
  <c r="G33" i="11"/>
  <c r="E26" i="5"/>
  <c r="H16" i="4"/>
  <c r="G16" i="4"/>
  <c r="G15" i="4"/>
  <c r="C16" i="6" s="1"/>
  <c r="G13" i="4"/>
  <c r="G12" i="4"/>
  <c r="C13" i="6"/>
  <c r="C10" i="6"/>
  <c r="D26" i="15"/>
  <c r="D20" i="15"/>
  <c r="B7" i="5"/>
  <c r="C7" i="5" s="1"/>
  <c r="B12" i="5"/>
  <c r="C12" i="5" s="1"/>
  <c r="E12" i="5" s="1"/>
  <c r="B10" i="5"/>
  <c r="C10" i="5" s="1"/>
  <c r="E10" i="5" s="1"/>
  <c r="C19" i="6"/>
  <c r="D55" i="9"/>
  <c r="D15" i="9"/>
  <c r="B9" i="5"/>
  <c r="C9" i="5" s="1"/>
  <c r="Q35" i="4"/>
  <c r="Q37" i="4"/>
  <c r="C25" i="6" s="1"/>
  <c r="E100" i="10"/>
  <c r="N10" i="11" s="1"/>
  <c r="E53" i="12" s="1"/>
  <c r="N11" i="11"/>
  <c r="O11" i="11" s="1"/>
  <c r="D18" i="11" s="1"/>
  <c r="G18" i="11" s="1"/>
  <c r="J18" i="11" s="1"/>
  <c r="I18" i="11" s="1"/>
  <c r="E55" i="10"/>
  <c r="N17" i="11" s="1"/>
  <c r="N52" i="15"/>
  <c r="H52" i="15"/>
  <c r="D27" i="11"/>
  <c r="N14" i="15"/>
  <c r="L52" i="15"/>
  <c r="F52" i="15"/>
  <c r="H14" i="15"/>
  <c r="J14" i="15"/>
  <c r="D52" i="15"/>
  <c r="L14" i="15"/>
  <c r="D14" i="15"/>
  <c r="J52" i="15"/>
  <c r="F14" i="15"/>
  <c r="D5" i="9"/>
  <c r="L48" i="15"/>
  <c r="J48" i="15"/>
  <c r="H48" i="15"/>
  <c r="L10" i="15"/>
  <c r="J10" i="15"/>
  <c r="H10" i="15"/>
  <c r="F48" i="15"/>
  <c r="F10" i="15"/>
  <c r="D48" i="15"/>
  <c r="D24" i="11"/>
  <c r="D10" i="15"/>
  <c r="N48" i="15"/>
  <c r="AD19" i="15"/>
  <c r="AD19" i="16"/>
  <c r="N55" i="16"/>
  <c r="AD20" i="16"/>
  <c r="AD20" i="15"/>
  <c r="C10" i="10"/>
  <c r="D10" i="10" s="1"/>
  <c r="C12" i="10"/>
  <c r="D12" i="10"/>
  <c r="Y9" i="4"/>
  <c r="F13" i="16"/>
  <c r="L51" i="16"/>
  <c r="N51" i="16"/>
  <c r="L8" i="16" l="1"/>
  <c r="Q29" i="4"/>
  <c r="Q38" i="4"/>
  <c r="E45" i="5"/>
  <c r="E7" i="5"/>
  <c r="C10" i="4"/>
  <c r="C12" i="4"/>
  <c r="E9" i="5"/>
  <c r="C13" i="4"/>
  <c r="C15" i="4"/>
  <c r="N46" i="15"/>
  <c r="H46" i="15"/>
  <c r="L8" i="15"/>
  <c r="F8" i="15"/>
  <c r="H8" i="15"/>
  <c r="J8" i="15"/>
  <c r="L46" i="15"/>
  <c r="D46" i="15"/>
  <c r="J46" i="15"/>
  <c r="D8" i="15"/>
  <c r="N8" i="15"/>
  <c r="F46" i="15"/>
  <c r="H46" i="16"/>
  <c r="J8" i="16"/>
  <c r="L46" i="16"/>
  <c r="N46" i="16"/>
  <c r="F8" i="16"/>
  <c r="H8" i="16"/>
  <c r="J46" i="16"/>
  <c r="N8" i="16"/>
  <c r="F34" i="3"/>
  <c r="I16" i="4" s="1"/>
  <c r="W18" i="4" s="1"/>
  <c r="D19" i="6" s="1"/>
  <c r="E19" i="6" s="1"/>
  <c r="E18" i="6" s="1"/>
  <c r="B45" i="5"/>
  <c r="Y8" i="4"/>
  <c r="C30" i="6"/>
  <c r="I9" i="4"/>
  <c r="Z12" i="4" s="1"/>
  <c r="D64" i="9"/>
  <c r="I15" i="4"/>
  <c r="E13" i="5"/>
  <c r="R35" i="4"/>
  <c r="H18" i="4"/>
  <c r="I13" i="4"/>
  <c r="E56" i="12"/>
  <c r="G56" i="12" s="1"/>
  <c r="Q43" i="12"/>
  <c r="P46" i="12"/>
  <c r="C17" i="4"/>
  <c r="E14" i="5"/>
  <c r="Q46" i="12"/>
  <c r="F45" i="12"/>
  <c r="F56" i="12"/>
  <c r="F53" i="12"/>
  <c r="G53" i="12" s="1"/>
  <c r="E15" i="5"/>
  <c r="D46" i="16"/>
  <c r="F46" i="16"/>
  <c r="I23" i="15"/>
  <c r="I34" i="15" s="1"/>
  <c r="M23" i="16"/>
  <c r="M34" i="16" s="1"/>
  <c r="I23" i="16"/>
  <c r="I34" i="16" s="1"/>
  <c r="J24" i="11"/>
  <c r="N46" i="12"/>
  <c r="E61" i="15"/>
  <c r="E72" i="15" s="1"/>
  <c r="J27" i="11"/>
  <c r="N28" i="12"/>
  <c r="P13" i="12"/>
  <c r="Q13" i="12" s="1"/>
  <c r="Q28" i="12" s="1"/>
  <c r="I21" i="11"/>
  <c r="J21" i="11" s="1"/>
  <c r="D15" i="10"/>
  <c r="P28" i="12"/>
  <c r="C18" i="11"/>
  <c r="H13" i="15"/>
  <c r="D13" i="16"/>
  <c r="D51" i="15"/>
  <c r="N47" i="11"/>
  <c r="C54" i="11" s="1"/>
  <c r="D22" i="15"/>
  <c r="F13" i="15"/>
  <c r="D51" i="16"/>
  <c r="H51" i="16"/>
  <c r="I12" i="4" l="1"/>
  <c r="Z14" i="4" s="1"/>
  <c r="I17" i="4"/>
  <c r="W19" i="4" s="1"/>
  <c r="C21" i="6" s="1"/>
  <c r="Y10" i="4"/>
  <c r="I10" i="4"/>
  <c r="B21" i="4"/>
  <c r="B19" i="4" s="1"/>
  <c r="C18" i="6"/>
  <c r="K19" i="6"/>
  <c r="D18" i="6"/>
  <c r="R38" i="4"/>
  <c r="R36" i="4"/>
  <c r="D24" i="6" s="1"/>
  <c r="W15" i="4"/>
  <c r="C9" i="6" s="1"/>
  <c r="G19" i="6"/>
  <c r="F19" i="6"/>
  <c r="F18" i="6" s="1"/>
  <c r="W16" i="4"/>
  <c r="Z15" i="4"/>
  <c r="W20" i="4"/>
  <c r="Z16" i="4"/>
  <c r="W13" i="4"/>
  <c r="Z13" i="4"/>
  <c r="G29" i="12"/>
  <c r="G32" i="12" s="1"/>
  <c r="G33" i="12" s="1"/>
  <c r="G34" i="12" s="1"/>
  <c r="H29" i="12"/>
  <c r="H32" i="12" s="1"/>
  <c r="H33" i="12" s="1"/>
  <c r="H34" i="12" s="1"/>
  <c r="J19" i="6"/>
  <c r="J9" i="15"/>
  <c r="J47" i="15"/>
  <c r="C21" i="11"/>
  <c r="D21" i="11" s="1"/>
  <c r="L9" i="15"/>
  <c r="H9" i="15"/>
  <c r="N47" i="15"/>
  <c r="L47" i="15"/>
  <c r="H47" i="15"/>
  <c r="D47" i="15"/>
  <c r="F9" i="15"/>
  <c r="F47" i="15"/>
  <c r="N9" i="15"/>
  <c r="D9" i="15"/>
  <c r="H49" i="15"/>
  <c r="D11" i="15"/>
  <c r="D49" i="15"/>
  <c r="N11" i="15"/>
  <c r="F49" i="15"/>
  <c r="H11" i="15"/>
  <c r="J49" i="15"/>
  <c r="F11" i="15"/>
  <c r="N49" i="15"/>
  <c r="L49" i="15"/>
  <c r="L11" i="15"/>
  <c r="J11" i="15"/>
  <c r="F18" i="11"/>
  <c r="F21" i="11" s="1"/>
  <c r="L19" i="6"/>
  <c r="D22" i="6" l="1"/>
  <c r="D21" i="6" s="1"/>
  <c r="R37" i="4"/>
  <c r="D25" i="6" s="1"/>
  <c r="D10" i="6"/>
  <c r="D9" i="6" s="1"/>
  <c r="B17" i="5"/>
  <c r="I19" i="4"/>
  <c r="W22" i="4"/>
  <c r="G18" i="6"/>
  <c r="H19" i="6"/>
  <c r="H18" i="6" s="1"/>
  <c r="E22" i="6"/>
  <c r="F22" i="6" s="1"/>
  <c r="C6" i="6"/>
  <c r="D7" i="6"/>
  <c r="E7" i="6" s="1"/>
  <c r="D13" i="6"/>
  <c r="C12" i="6"/>
  <c r="C15" i="6"/>
  <c r="D16" i="6"/>
  <c r="E16" i="6" s="1"/>
  <c r="E15" i="6" s="1"/>
  <c r="F55" i="12"/>
  <c r="F59" i="12" s="1"/>
  <c r="J47" i="16"/>
  <c r="H9" i="16"/>
  <c r="H47" i="16"/>
  <c r="N9" i="16"/>
  <c r="J9" i="16"/>
  <c r="N47" i="16"/>
  <c r="D47" i="16"/>
  <c r="D9" i="16"/>
  <c r="L47" i="16"/>
  <c r="L9" i="16"/>
  <c r="F9" i="16"/>
  <c r="F47" i="16"/>
  <c r="D58" i="15"/>
  <c r="D60" i="15" s="1"/>
  <c r="H20" i="15"/>
  <c r="H22" i="15" s="1"/>
  <c r="J58" i="15"/>
  <c r="J60" i="15" s="1"/>
  <c r="D20" i="16"/>
  <c r="D22" i="16" s="1"/>
  <c r="N20" i="15"/>
  <c r="N22" i="15" s="1"/>
  <c r="L58" i="15"/>
  <c r="L60" i="15" s="1"/>
  <c r="I23" i="11"/>
  <c r="J23" i="11" s="1"/>
  <c r="F20" i="15"/>
  <c r="F22" i="15" s="1"/>
  <c r="H58" i="15"/>
  <c r="H60" i="15" s="1"/>
  <c r="F58" i="15"/>
  <c r="F60" i="15" s="1"/>
  <c r="N58" i="15"/>
  <c r="N60" i="15" s="1"/>
  <c r="J20" i="15"/>
  <c r="J22" i="15" s="1"/>
  <c r="C23" i="11"/>
  <c r="L20" i="15"/>
  <c r="L22" i="15" s="1"/>
  <c r="S35" i="4" l="1"/>
  <c r="S36" i="4"/>
  <c r="E24" i="6" s="1"/>
  <c r="S38" i="4"/>
  <c r="Z18" i="4"/>
  <c r="I18" i="4"/>
  <c r="C27" i="6"/>
  <c r="E27" i="6"/>
  <c r="M27" i="6"/>
  <c r="L27" i="6"/>
  <c r="H27" i="6"/>
  <c r="J27" i="6"/>
  <c r="D27" i="6"/>
  <c r="K27" i="6"/>
  <c r="F27" i="6"/>
  <c r="I27" i="6"/>
  <c r="G27" i="6"/>
  <c r="C17" i="5"/>
  <c r="B19" i="5"/>
  <c r="I19" i="6"/>
  <c r="I18" i="6" s="1"/>
  <c r="E21" i="6"/>
  <c r="D15" i="6"/>
  <c r="C29" i="6"/>
  <c r="C34" i="6" s="1"/>
  <c r="F16" i="6"/>
  <c r="G16" i="6" s="1"/>
  <c r="D6" i="6"/>
  <c r="E6" i="6"/>
  <c r="F7" i="6"/>
  <c r="F6" i="6" s="1"/>
  <c r="D12" i="6"/>
  <c r="E10" i="6"/>
  <c r="E13" i="6"/>
  <c r="E12" i="6" s="1"/>
  <c r="D30" i="6"/>
  <c r="F52" i="12"/>
  <c r="F58" i="12" s="1"/>
  <c r="H58" i="16"/>
  <c r="H60" i="16" s="1"/>
  <c r="N20" i="16"/>
  <c r="N22" i="16" s="1"/>
  <c r="N58" i="16"/>
  <c r="N60" i="16" s="1"/>
  <c r="F58" i="16"/>
  <c r="F60" i="16" s="1"/>
  <c r="L20" i="16"/>
  <c r="L22" i="16" s="1"/>
  <c r="J58" i="16"/>
  <c r="J60" i="16" s="1"/>
  <c r="L58" i="16"/>
  <c r="L60" i="16" s="1"/>
  <c r="F21" i="6"/>
  <c r="G22" i="6"/>
  <c r="D23" i="11"/>
  <c r="C26" i="11"/>
  <c r="D26" i="11"/>
  <c r="I26" i="11"/>
  <c r="J26" i="11" s="1"/>
  <c r="H20" i="16"/>
  <c r="H22" i="16" s="1"/>
  <c r="F23" i="11"/>
  <c r="G21" i="11"/>
  <c r="F20" i="16"/>
  <c r="F22" i="16" s="1"/>
  <c r="D58" i="16"/>
  <c r="D60" i="16" s="1"/>
  <c r="J20" i="16"/>
  <c r="J22" i="16" s="1"/>
  <c r="S37" i="4" l="1"/>
  <c r="E17" i="5"/>
  <c r="E19" i="5" s="1"/>
  <c r="C19" i="5"/>
  <c r="J18" i="6"/>
  <c r="M19" i="6"/>
  <c r="M18" i="6" s="1"/>
  <c r="K18" i="6"/>
  <c r="L18" i="6"/>
  <c r="F15" i="6"/>
  <c r="C35" i="6"/>
  <c r="H50" i="15"/>
  <c r="H53" i="15" s="1"/>
  <c r="H61" i="15" s="1"/>
  <c r="H72" i="15" s="1"/>
  <c r="N50" i="15"/>
  <c r="N53" i="15" s="1"/>
  <c r="N61" i="15" s="1"/>
  <c r="N72" i="15" s="1"/>
  <c r="D50" i="15"/>
  <c r="D53" i="15" s="1"/>
  <c r="D61" i="15" s="1"/>
  <c r="D72" i="15" s="1"/>
  <c r="H12" i="15"/>
  <c r="H15" i="15" s="1"/>
  <c r="H23" i="15" s="1"/>
  <c r="H34" i="15" s="1"/>
  <c r="N52" i="11"/>
  <c r="J12" i="15"/>
  <c r="J15" i="15" s="1"/>
  <c r="J23" i="15" s="1"/>
  <c r="J34" i="15" s="1"/>
  <c r="D19" i="10"/>
  <c r="D12" i="15"/>
  <c r="D15" i="15" s="1"/>
  <c r="D23" i="15" s="1"/>
  <c r="D34" i="15" s="1"/>
  <c r="F13" i="6"/>
  <c r="G13" i="6" s="1"/>
  <c r="G12" i="6" s="1"/>
  <c r="C30" i="11"/>
  <c r="D30" i="11" s="1"/>
  <c r="N23" i="11"/>
  <c r="D29" i="6"/>
  <c r="F30" i="11" s="1"/>
  <c r="G30" i="11" s="1"/>
  <c r="C59" i="11"/>
  <c r="L50" i="15"/>
  <c r="L53" i="15" s="1"/>
  <c r="L61" i="15" s="1"/>
  <c r="L72" i="15" s="1"/>
  <c r="J50" i="15"/>
  <c r="J53" i="15" s="1"/>
  <c r="J61" i="15" s="1"/>
  <c r="J72" i="15" s="1"/>
  <c r="F50" i="15"/>
  <c r="F53" i="15" s="1"/>
  <c r="F61" i="15" s="1"/>
  <c r="F72" i="15" s="1"/>
  <c r="L12" i="15"/>
  <c r="L15" i="15" s="1"/>
  <c r="L23" i="15" s="1"/>
  <c r="L34" i="15" s="1"/>
  <c r="F12" i="15"/>
  <c r="F15" i="15" s="1"/>
  <c r="F23" i="15" s="1"/>
  <c r="F34" i="15" s="1"/>
  <c r="N12" i="15"/>
  <c r="N15" i="15" s="1"/>
  <c r="N23" i="15" s="1"/>
  <c r="N34" i="15" s="1"/>
  <c r="G15" i="6"/>
  <c r="H16" i="6"/>
  <c r="H15" i="6" s="1"/>
  <c r="E9" i="6"/>
  <c r="E29" i="6" s="1"/>
  <c r="F10" i="6"/>
  <c r="G10" i="6" s="1"/>
  <c r="G7" i="6"/>
  <c r="G6" i="6" s="1"/>
  <c r="I29" i="11"/>
  <c r="J29" i="11" s="1"/>
  <c r="G21" i="6"/>
  <c r="N13" i="16"/>
  <c r="L13" i="16"/>
  <c r="H13" i="16"/>
  <c r="G23" i="11"/>
  <c r="F26" i="11"/>
  <c r="J13" i="16"/>
  <c r="C29" i="11"/>
  <c r="D33" i="11"/>
  <c r="H22" i="6"/>
  <c r="H21" i="6" s="1"/>
  <c r="E25" i="6" l="1"/>
  <c r="E30" i="6" s="1"/>
  <c r="T35" i="4"/>
  <c r="E47" i="5"/>
  <c r="H13" i="6"/>
  <c r="H12" i="6" s="1"/>
  <c r="F12" i="6"/>
  <c r="E50" i="5"/>
  <c r="E51" i="5" s="1"/>
  <c r="C18" i="10" s="1"/>
  <c r="D18" i="10" s="1"/>
  <c r="D20" i="10" s="1"/>
  <c r="E22" i="10" s="1"/>
  <c r="E24" i="10" s="1"/>
  <c r="E41" i="10" s="1"/>
  <c r="E57" i="10" s="1"/>
  <c r="I16" i="6"/>
  <c r="I15" i="6" s="1"/>
  <c r="D34" i="6"/>
  <c r="J50" i="16" s="1"/>
  <c r="J53" i="16" s="1"/>
  <c r="J61" i="16" s="1"/>
  <c r="J72" i="16" s="1"/>
  <c r="H7" i="6"/>
  <c r="I7" i="6" s="1"/>
  <c r="E34" i="6"/>
  <c r="I30" i="11"/>
  <c r="J30" i="11" s="1"/>
  <c r="H10" i="6"/>
  <c r="H9" i="6" s="1"/>
  <c r="G9" i="6"/>
  <c r="F9" i="6"/>
  <c r="C47" i="11"/>
  <c r="C32" i="11"/>
  <c r="D29" i="11"/>
  <c r="I47" i="11"/>
  <c r="J47" i="11" s="1"/>
  <c r="G26" i="11"/>
  <c r="F29" i="11"/>
  <c r="I22" i="6"/>
  <c r="I21" i="6" s="1"/>
  <c r="T36" i="4" l="1"/>
  <c r="F24" i="6" s="1"/>
  <c r="T38" i="4"/>
  <c r="I13" i="6"/>
  <c r="I12" i="6" s="1"/>
  <c r="F29" i="6"/>
  <c r="C67" i="10"/>
  <c r="E67" i="10" s="1"/>
  <c r="E68" i="10"/>
  <c r="H6" i="6"/>
  <c r="J16" i="6"/>
  <c r="J15" i="6" s="1"/>
  <c r="N50" i="16"/>
  <c r="N53" i="16" s="1"/>
  <c r="N61" i="16" s="1"/>
  <c r="N72" i="16" s="1"/>
  <c r="D35" i="6"/>
  <c r="D50" i="16"/>
  <c r="D53" i="16" s="1"/>
  <c r="D61" i="16" s="1"/>
  <c r="D72" i="16" s="1"/>
  <c r="J12" i="16"/>
  <c r="J15" i="16" s="1"/>
  <c r="J23" i="16" s="1"/>
  <c r="J34" i="16" s="1"/>
  <c r="F12" i="16"/>
  <c r="F15" i="16" s="1"/>
  <c r="F23" i="16" s="1"/>
  <c r="F34" i="16" s="1"/>
  <c r="L12" i="16"/>
  <c r="L15" i="16" s="1"/>
  <c r="L23" i="16" s="1"/>
  <c r="L34" i="16" s="1"/>
  <c r="F50" i="16"/>
  <c r="F53" i="16" s="1"/>
  <c r="F61" i="16" s="1"/>
  <c r="F72" i="16" s="1"/>
  <c r="F59" i="11"/>
  <c r="L50" i="16"/>
  <c r="L53" i="16" s="1"/>
  <c r="L61" i="16" s="1"/>
  <c r="L72" i="16" s="1"/>
  <c r="H12" i="16"/>
  <c r="H15" i="16" s="1"/>
  <c r="H23" i="16" s="1"/>
  <c r="H34" i="16" s="1"/>
  <c r="N12" i="16"/>
  <c r="N15" i="16" s="1"/>
  <c r="N23" i="16" s="1"/>
  <c r="N34" i="16" s="1"/>
  <c r="H50" i="16"/>
  <c r="H53" i="16" s="1"/>
  <c r="H61" i="16" s="1"/>
  <c r="H72" i="16" s="1"/>
  <c r="D12" i="16"/>
  <c r="D15" i="16" s="1"/>
  <c r="D23" i="16" s="1"/>
  <c r="D34" i="16" s="1"/>
  <c r="I32" i="11"/>
  <c r="J32" i="11" s="1"/>
  <c r="J7" i="6"/>
  <c r="J6" i="6" s="1"/>
  <c r="I59" i="11"/>
  <c r="E35" i="6"/>
  <c r="J22" i="6"/>
  <c r="J21" i="6" s="1"/>
  <c r="I6" i="6"/>
  <c r="I10" i="6"/>
  <c r="J10" i="6" s="1"/>
  <c r="J9" i="6" s="1"/>
  <c r="F47" i="11"/>
  <c r="G29" i="11"/>
  <c r="F32" i="11"/>
  <c r="I52" i="11"/>
  <c r="I57" i="11" s="1"/>
  <c r="J57" i="11" s="1"/>
  <c r="C52" i="11"/>
  <c r="C57" i="11" s="1"/>
  <c r="D47" i="11"/>
  <c r="C35" i="11"/>
  <c r="D35" i="11" s="1"/>
  <c r="D32" i="11"/>
  <c r="T37" i="4" l="1"/>
  <c r="F25" i="6" s="1"/>
  <c r="F30" i="6" s="1"/>
  <c r="F34" i="6"/>
  <c r="F35" i="6" s="1"/>
  <c r="U35" i="4"/>
  <c r="U38" i="4" s="1"/>
  <c r="J13" i="6"/>
  <c r="J12" i="6" s="1"/>
  <c r="E78" i="10"/>
  <c r="E79" i="10"/>
  <c r="N8" i="11" s="1"/>
  <c r="N14" i="11" s="1"/>
  <c r="K16" i="6"/>
  <c r="L16" i="6" s="1"/>
  <c r="I35" i="11"/>
  <c r="J35" i="11" s="1"/>
  <c r="K10" i="6"/>
  <c r="K7" i="6"/>
  <c r="K22" i="6"/>
  <c r="I9" i="6"/>
  <c r="C61" i="11"/>
  <c r="D57" i="11"/>
  <c r="I61" i="11"/>
  <c r="F35" i="11"/>
  <c r="G35" i="11" s="1"/>
  <c r="G32" i="11"/>
  <c r="F52" i="11"/>
  <c r="F57" i="11" s="1"/>
  <c r="G47" i="11"/>
  <c r="U36" i="4" l="1"/>
  <c r="G24" i="6" s="1"/>
  <c r="G29" i="6" s="1"/>
  <c r="U37" i="4"/>
  <c r="G25" i="6" s="1"/>
  <c r="G30" i="6" s="1"/>
  <c r="G34" i="6" s="1"/>
  <c r="G35" i="6" s="1"/>
  <c r="V35" i="4"/>
  <c r="K13" i="6"/>
  <c r="K12" i="6" s="1"/>
  <c r="E81" i="10"/>
  <c r="N7" i="11" s="1"/>
  <c r="N13" i="11" s="1"/>
  <c r="C88" i="10"/>
  <c r="C89" i="10" s="1"/>
  <c r="E89" i="10" s="1"/>
  <c r="K15" i="6"/>
  <c r="K21" i="6"/>
  <c r="L22" i="6"/>
  <c r="L21" i="6" s="1"/>
  <c r="L10" i="6"/>
  <c r="L15" i="6"/>
  <c r="M16" i="6"/>
  <c r="M15" i="6" s="1"/>
  <c r="K6" i="6"/>
  <c r="L7" i="6"/>
  <c r="G57" i="11"/>
  <c r="F61" i="11"/>
  <c r="V36" i="4" l="1"/>
  <c r="V38" i="4"/>
  <c r="L13" i="6"/>
  <c r="L12" i="6" s="1"/>
  <c r="E52" i="12"/>
  <c r="G52" i="12" s="1"/>
  <c r="E55" i="12"/>
  <c r="G55" i="12" s="1"/>
  <c r="M22" i="6"/>
  <c r="M21" i="6" s="1"/>
  <c r="L6" i="6"/>
  <c r="M7" i="6"/>
  <c r="M6" i="6" s="1"/>
  <c r="L9" i="6"/>
  <c r="K9" i="6"/>
  <c r="M10" i="6"/>
  <c r="M9" i="6" s="1"/>
  <c r="O20" i="11"/>
  <c r="E9" i="14" s="1"/>
  <c r="F9" i="14" s="1"/>
  <c r="O26" i="11"/>
  <c r="E58" i="12"/>
  <c r="G58" i="12" s="1"/>
  <c r="N16" i="11"/>
  <c r="O17" i="11"/>
  <c r="E8" i="14" s="1"/>
  <c r="F8" i="14" s="1"/>
  <c r="O23" i="11"/>
  <c r="O14" i="11"/>
  <c r="E7" i="14" s="1"/>
  <c r="F7" i="14" s="1"/>
  <c r="M13" i="6" l="1"/>
  <c r="M12" i="6" s="1"/>
  <c r="H24" i="6"/>
  <c r="H29" i="6" s="1"/>
  <c r="V37" i="4"/>
  <c r="N19" i="11"/>
  <c r="E59" i="12"/>
  <c r="G59" i="12" s="1"/>
  <c r="O16" i="11"/>
  <c r="E10" i="14"/>
  <c r="F10" i="14"/>
  <c r="E12" i="14" s="1"/>
  <c r="F17" i="14" s="1"/>
  <c r="H25" i="6" l="1"/>
  <c r="H30" i="6" s="1"/>
  <c r="W35" i="4"/>
  <c r="H34" i="6"/>
  <c r="H35" i="6" s="1"/>
  <c r="F19" i="14"/>
  <c r="F18" i="14"/>
  <c r="O19" i="11"/>
  <c r="N22" i="11"/>
  <c r="W38" i="4" l="1"/>
  <c r="W36" i="4"/>
  <c r="I24" i="6" s="1"/>
  <c r="I29" i="6" s="1"/>
  <c r="N40" i="11"/>
  <c r="N25" i="11"/>
  <c r="O22" i="11"/>
  <c r="F22" i="14"/>
  <c r="F26" i="14" s="1"/>
  <c r="W37" i="4" l="1"/>
  <c r="N28" i="11"/>
  <c r="O28" i="11" s="1"/>
  <c r="O25" i="11"/>
  <c r="N45" i="11"/>
  <c r="N50" i="11" s="1"/>
  <c r="O40" i="11"/>
  <c r="I25" i="6" l="1"/>
  <c r="I30" i="6" s="1"/>
  <c r="I34" i="6" s="1"/>
  <c r="I35" i="6" s="1"/>
  <c r="X35" i="4"/>
  <c r="O50" i="11"/>
  <c r="N54" i="11"/>
  <c r="X36" i="4" l="1"/>
  <c r="J24" i="6" s="1"/>
  <c r="J29" i="6" s="1"/>
  <c r="X38" i="4"/>
  <c r="X37" i="4"/>
  <c r="J25" i="6" s="1"/>
  <c r="J30" i="6" s="1"/>
  <c r="Y35" i="4" l="1"/>
  <c r="J34" i="6"/>
  <c r="J35" i="6" s="1"/>
  <c r="Y36" i="4" l="1"/>
  <c r="K24" i="6" s="1"/>
  <c r="K29" i="6" s="1"/>
  <c r="Y38" i="4"/>
  <c r="Y37" i="4" l="1"/>
  <c r="K25" i="6" l="1"/>
  <c r="K30" i="6" s="1"/>
  <c r="K34" i="6" s="1"/>
  <c r="K35" i="6" s="1"/>
  <c r="Z35" i="4"/>
  <c r="Z37" i="4" l="1"/>
  <c r="L25" i="6" s="1"/>
  <c r="L30" i="6" s="1"/>
  <c r="Z38" i="4"/>
  <c r="AA35" i="4"/>
  <c r="Z36" i="4"/>
  <c r="L24" i="6" s="1"/>
  <c r="L29" i="6" s="1"/>
  <c r="L34" i="6" s="1"/>
  <c r="L35" i="6" s="1"/>
  <c r="AA38" i="4" l="1"/>
  <c r="AA36" i="4"/>
  <c r="M24" i="6" s="1"/>
  <c r="M29" i="6" s="1"/>
  <c r="AA37" i="4"/>
  <c r="M25" i="6" s="1"/>
  <c r="M30" i="6" s="1"/>
  <c r="AB35" i="4" l="1"/>
  <c r="M34" i="6"/>
  <c r="M35" i="6" s="1"/>
  <c r="AB37" i="4"/>
  <c r="AC35" i="4" s="1"/>
  <c r="AC36" i="4" l="1"/>
  <c r="AC38" i="4"/>
  <c r="AB38" i="4"/>
  <c r="AC37" i="4" s="1"/>
  <c r="AD35" i="4" s="1"/>
  <c r="AB36" i="4"/>
  <c r="AD37" i="4" l="1"/>
  <c r="AE35" i="4" s="1"/>
  <c r="AD38" i="4"/>
  <c r="AE37" i="4" s="1"/>
  <c r="AF35" i="4" s="1"/>
  <c r="AD36" i="4"/>
  <c r="AF38" i="4" l="1"/>
  <c r="AF36" i="4"/>
  <c r="AE38" i="4"/>
  <c r="AF37" i="4" s="1"/>
  <c r="AG35" i="4" s="1"/>
  <c r="AE36" i="4"/>
  <c r="AG38" i="4" l="1"/>
  <c r="AG36" i="4"/>
  <c r="AG37" i="4"/>
  <c r="AH35" i="4" s="1"/>
  <c r="AH36" i="4" l="1"/>
  <c r="AH38" i="4"/>
  <c r="AH37" i="4"/>
  <c r="AI35" i="4" s="1"/>
  <c r="AI36" i="4" l="1"/>
  <c r="AI38" i="4"/>
  <c r="AI37" i="4"/>
  <c r="AJ35" i="4" s="1"/>
  <c r="AJ37" i="4" l="1"/>
  <c r="AK35" i="4" s="1"/>
  <c r="AJ36" i="4"/>
  <c r="AJ38" i="4"/>
  <c r="AK37" i="4" s="1"/>
  <c r="AL35" i="4" s="1"/>
  <c r="AL36" i="4" l="1"/>
  <c r="AL38" i="4"/>
  <c r="AK38" i="4"/>
  <c r="AL37" i="4" s="1"/>
  <c r="AM35" i="4" s="1"/>
  <c r="AK36" i="4"/>
  <c r="AM37" i="4" l="1"/>
  <c r="AN35" i="4" s="1"/>
  <c r="AM38" i="4"/>
  <c r="AN37" i="4" s="1"/>
  <c r="AO35" i="4" s="1"/>
  <c r="AM36" i="4"/>
  <c r="AO38" i="4" l="1"/>
  <c r="AO36" i="4"/>
  <c r="AN36" i="4"/>
  <c r="AN38" i="4"/>
  <c r="AO37" i="4" s="1"/>
  <c r="AP35" i="4" s="1"/>
  <c r="AP36" i="4" l="1"/>
  <c r="AP38" i="4"/>
  <c r="AP37" i="4"/>
  <c r="AQ35" i="4" s="1"/>
  <c r="AQ38" i="4" l="1"/>
  <c r="AQ36" i="4"/>
  <c r="AQ37" i="4"/>
  <c r="AR35" i="4" s="1"/>
  <c r="AR36" i="4" l="1"/>
  <c r="T26" i="4" s="1"/>
  <c r="AR38" i="4"/>
  <c r="AR37" i="4"/>
  <c r="T27" i="4" s="1"/>
  <c r="T29" i="4" l="1"/>
</calcChain>
</file>

<file path=xl/sharedStrings.xml><?xml version="1.0" encoding="utf-8"?>
<sst xmlns="http://schemas.openxmlformats.org/spreadsheetml/2006/main" count="813" uniqueCount="428">
  <si>
    <t xml:space="preserve">Vorhaben: </t>
  </si>
  <si>
    <t>Investitionsplan:</t>
  </si>
  <si>
    <t>Anlagevermögen:</t>
  </si>
  <si>
    <t>Maschinen</t>
  </si>
  <si>
    <t>Werkzeuge</t>
  </si>
  <si>
    <t>Werkstatteinrichtung</t>
  </si>
  <si>
    <t>EDV-System</t>
  </si>
  <si>
    <t>Fahrzeuge</t>
  </si>
  <si>
    <t>Warenerstaustattung</t>
  </si>
  <si>
    <t>Einmalkosten / Gründungskosten</t>
  </si>
  <si>
    <t>…</t>
  </si>
  <si>
    <t>Sonstiges</t>
  </si>
  <si>
    <t>Umlaufvermögen:</t>
  </si>
  <si>
    <t>Ware</t>
  </si>
  <si>
    <t>Material</t>
  </si>
  <si>
    <t>Halbfertige Aufträge</t>
  </si>
  <si>
    <t>Fertige Aufträge</t>
  </si>
  <si>
    <t>Forderungen</t>
  </si>
  <si>
    <t>Kapitalbedarf gesamt</t>
  </si>
  <si>
    <t>€</t>
  </si>
  <si>
    <t>Finanzierungsplan:</t>
  </si>
  <si>
    <t>Finanzierungsmittel</t>
  </si>
  <si>
    <t>Auszahlung</t>
  </si>
  <si>
    <t>Nominalbetrag</t>
  </si>
  <si>
    <t>Zins</t>
  </si>
  <si>
    <t>Auszah-lung</t>
  </si>
  <si>
    <t>zinsfrei</t>
  </si>
  <si>
    <t xml:space="preserve"> </t>
  </si>
  <si>
    <t>Eigenmittel</t>
  </si>
  <si>
    <t>Unternehmerkapital</t>
  </si>
  <si>
    <t>L-Bank Liquiditätshilfe</t>
  </si>
  <si>
    <t>Kapital für Arbeit</t>
  </si>
  <si>
    <t>Bankdarlehen</t>
  </si>
  <si>
    <t>Bankdarlehen (Annuität)</t>
  </si>
  <si>
    <t>Kontokorrentkredit</t>
  </si>
  <si>
    <t>%</t>
  </si>
  <si>
    <t>Jahre</t>
  </si>
  <si>
    <t>Finanzierungsmittel:</t>
  </si>
  <si>
    <t>insgesamt zur Finanzierung des Kapitalbedarfs</t>
  </si>
  <si>
    <t xml:space="preserve">Zuständig für die öffentlichen Finanzierungshilfen sind die L-Bank in Stuttgart und die KfW Mittelstandsbank in Berlin/Bonn. Anträge müssen Sie vor Investitionen bzw. Vertragsabschlüssen bei Ihrer Hausbank gestellt haben. </t>
  </si>
  <si>
    <t xml:space="preserve"> - Die Zinsen des Kontokorrentkredites werden in der Kapitaldienstberechnung der nächsten Seite aus einer </t>
  </si>
  <si>
    <t xml:space="preserve">   durchschnittlich. 50%-igen Inanspruchnahme des K.-Kredites berechnet.</t>
  </si>
  <si>
    <t>Startfinanzierung 80</t>
  </si>
  <si>
    <t>Anf.tilg</t>
  </si>
  <si>
    <t>Darlehensbetrag</t>
  </si>
  <si>
    <t>Jahr</t>
  </si>
  <si>
    <t>Zinsen</t>
  </si>
  <si>
    <t>Tilgung</t>
  </si>
  <si>
    <t>Annuität</t>
  </si>
  <si>
    <t xml:space="preserve"> = LAUFZEIT</t>
  </si>
  <si>
    <t>Anfangskapital</t>
  </si>
  <si>
    <t>Kapitaldienst Jahr 1-11</t>
  </si>
  <si>
    <t>(KfW)</t>
  </si>
  <si>
    <t>Tilg.</t>
  </si>
  <si>
    <t>(L-Bank)</t>
  </si>
  <si>
    <t>(Hausbank)</t>
  </si>
  <si>
    <t>Summe Zinsen</t>
  </si>
  <si>
    <t xml:space="preserve">   :</t>
  </si>
  <si>
    <t>Summe Tilgung</t>
  </si>
  <si>
    <t>Kapitaldienst (Zins und Tilgung) gerundet für die ersten 11 Jahre:</t>
  </si>
  <si>
    <t>Jährlich</t>
  </si>
  <si>
    <t>Monatlich</t>
  </si>
  <si>
    <t>Umlaufvermögen (ohne Warenlager)</t>
  </si>
  <si>
    <t>Investitionsbedarf (einschl. Warenlager)</t>
  </si>
  <si>
    <t>Kapitalbedarf</t>
  </si>
  <si>
    <t>EKH100</t>
  </si>
  <si>
    <t>EKH</t>
  </si>
  <si>
    <t>LKB</t>
  </si>
  <si>
    <t>LKB100</t>
  </si>
  <si>
    <t>DAB/ERP</t>
  </si>
  <si>
    <t>DAB100</t>
  </si>
  <si>
    <t>Hausbank</t>
  </si>
  <si>
    <t>HB100</t>
  </si>
  <si>
    <t>Kontokorrentkr.</t>
  </si>
  <si>
    <t>zus100</t>
  </si>
  <si>
    <t>KK/2</t>
  </si>
  <si>
    <t>Konditionen L-Bank</t>
  </si>
  <si>
    <t>p</t>
  </si>
  <si>
    <t>ti</t>
  </si>
  <si>
    <t>tf</t>
  </si>
  <si>
    <t>GuW</t>
  </si>
  <si>
    <t>Starthilfe</t>
  </si>
  <si>
    <t>Arbeitsplatz</t>
  </si>
  <si>
    <t>Betriebsmittel</t>
  </si>
  <si>
    <t>L-Bank Liqiditätshilfe</t>
  </si>
  <si>
    <t>Sicherheitenübersicht:</t>
  </si>
  <si>
    <t>1. Benötigte Sicherheiten:</t>
  </si>
  <si>
    <t>Darlehen</t>
  </si>
  <si>
    <t>abzu-</t>
  </si>
  <si>
    <t xml:space="preserve">notwendige </t>
  </si>
  <si>
    <t>sichern</t>
  </si>
  <si>
    <t>Sicherheit</t>
  </si>
  <si>
    <t>Bürgschaftsrahmen</t>
  </si>
  <si>
    <t>2. Vorhandene Sicherheiten:</t>
  </si>
  <si>
    <t>Wert</t>
  </si>
  <si>
    <t>Beleihung</t>
  </si>
  <si>
    <t xml:space="preserve">%   </t>
  </si>
  <si>
    <t>Soll die Bürgschaft der Bürgschaftsbank beantragt werden?</t>
  </si>
  <si>
    <t>Private Ausgaben</t>
  </si>
  <si>
    <t>€/Monat</t>
  </si>
  <si>
    <t>€/Jahr</t>
  </si>
  <si>
    <t>Kosten Lebenshaltung</t>
  </si>
  <si>
    <t>Essen und Trinken</t>
  </si>
  <si>
    <t>Kleidung</t>
  </si>
  <si>
    <t>Hobby</t>
  </si>
  <si>
    <t>Freizeit</t>
  </si>
  <si>
    <t>Urlaub</t>
  </si>
  <si>
    <t>Geschenke</t>
  </si>
  <si>
    <t>Kultur</t>
  </si>
  <si>
    <t>Private Versicherungen</t>
  </si>
  <si>
    <t>Rentenversicherung</t>
  </si>
  <si>
    <t>Krankenversicherung</t>
  </si>
  <si>
    <t>Kapital-Lebensversicherung</t>
  </si>
  <si>
    <t>Risiko-Lebensversicherung</t>
  </si>
  <si>
    <t>BU-Versicherung</t>
  </si>
  <si>
    <t>Unfallversicherung</t>
  </si>
  <si>
    <t>sonstige Versicherungen</t>
  </si>
  <si>
    <t>Sonstige Versicherungen</t>
  </si>
  <si>
    <t>Privathaftpflicht</t>
  </si>
  <si>
    <t>Hausrat</t>
  </si>
  <si>
    <t>Feuer</t>
  </si>
  <si>
    <t>Leitungswasser, Glasversicherung</t>
  </si>
  <si>
    <t>Rechtschutz</t>
  </si>
  <si>
    <t>Wohnen</t>
  </si>
  <si>
    <t>Unterhalt/Reparaturen</t>
  </si>
  <si>
    <t>Miete</t>
  </si>
  <si>
    <t>Nebenkosten</t>
  </si>
  <si>
    <t>Heizung</t>
  </si>
  <si>
    <t>Strom</t>
  </si>
  <si>
    <t>Wasser</t>
  </si>
  <si>
    <t>Telefon</t>
  </si>
  <si>
    <t>Einrichtung</t>
  </si>
  <si>
    <t>Fahrzeug</t>
  </si>
  <si>
    <t>Steuer</t>
  </si>
  <si>
    <t>Versicherung</t>
  </si>
  <si>
    <t>Verbrauch</t>
  </si>
  <si>
    <t>Wartung</t>
  </si>
  <si>
    <t>Reparaturen</t>
  </si>
  <si>
    <t>Leasing</t>
  </si>
  <si>
    <t>Privatanteil Firmenwagen</t>
  </si>
  <si>
    <t>Sonstige private Verpflichtungen</t>
  </si>
  <si>
    <t>Unterstützung Eltern/Kinder</t>
  </si>
  <si>
    <t>Kapitaldienst private Darlehen</t>
  </si>
  <si>
    <t>Summe der privaten Ausgaben</t>
  </si>
  <si>
    <t>Rundfunkgebühr</t>
  </si>
  <si>
    <t>Mit dieser Berechnung wird über eine Rückrechnung ausgehend von Lebensunterhalt und Kapitaldienst der notwendige Cash-Flow ermittelt. Nach Berücksichtigung der voraussichtlichen betrieblichen Kosten und der voraussichtlichen Personalkosten ergibt sich der notwendige Rohgewinn.</t>
  </si>
  <si>
    <t>1. Cash-Flow:</t>
  </si>
  <si>
    <t>Lebenshaltungskosten</t>
  </si>
  <si>
    <t>+ Einkommensteuer (ca.)</t>
  </si>
  <si>
    <t>+ KV, RV, LV, Sonstiges</t>
  </si>
  <si>
    <t>+ Kapitaldienst aus privater Finanzierung</t>
  </si>
  <si>
    <t>./. Nettogehaltsanteil Ehefrau</t>
  </si>
  <si>
    <t>+ Kapitaldienst aus bestehender Finanzierung</t>
  </si>
  <si>
    <t>+ ca. Bürgschaftsprovision BB</t>
  </si>
  <si>
    <t>+ Kapitaldienst aus neuer Finanzierung 1. Jahr</t>
  </si>
  <si>
    <t>+ Rücklage für Investitionen aus Eigenmitteln</t>
  </si>
  <si>
    <t>(aufgerundet)</t>
  </si>
  <si>
    <t>+ Betriebliche Kosten:</t>
  </si>
  <si>
    <t>+ Personalkosten</t>
  </si>
  <si>
    <t>Zahl</t>
  </si>
  <si>
    <t>€/Monat brutto</t>
  </si>
  <si>
    <t>€ p.a.inkl. AG-Ant.</t>
  </si>
  <si>
    <t>Geschäftsführergehalt</t>
  </si>
  <si>
    <t>Techn. Betriebsleiter</t>
  </si>
  <si>
    <t>Geselle</t>
  </si>
  <si>
    <t>Helfer</t>
  </si>
  <si>
    <t>Facharbeiter</t>
  </si>
  <si>
    <t>Ausbildungsvergütung</t>
  </si>
  <si>
    <t>Aushilfen</t>
  </si>
  <si>
    <t>Verkauf und Vertrieb</t>
  </si>
  <si>
    <t>Büroangestellte</t>
  </si>
  <si>
    <t>Aufteilung des Rohgewinnes</t>
  </si>
  <si>
    <t>- erwarteteter Anteil am Rohgewinn:</t>
  </si>
  <si>
    <t xml:space="preserve">   Handwerk</t>
  </si>
  <si>
    <t xml:space="preserve">   Handel</t>
  </si>
  <si>
    <t>Nach der bisherigen Planung und Analyse könnte der Rohgewinn in der angegebenen Höhe</t>
  </si>
  <si>
    <t>im Handwerks- bzw. im Handelsbereich erzielt werden.</t>
  </si>
  <si>
    <t>Berechnung des Mindestumsatzes im produzierenden Bereich:</t>
  </si>
  <si>
    <t>Materialeinsatz Handwerk</t>
  </si>
  <si>
    <t>Erwarteteter Rohgewinn</t>
  </si>
  <si>
    <t>daraus berechnet: Materialeinsatz Handwerk in € (gerundet) *)</t>
  </si>
  <si>
    <t>= zur Kostendeckung notwendiger Mindestumsatz Handwerk</t>
  </si>
  <si>
    <t>Der angegebene Materialeinsatz wurde für den neuen Betrieb geschätzt nach Betriebsvergleich.</t>
  </si>
  <si>
    <t>=</t>
  </si>
  <si>
    <t>-------------------------------</t>
  </si>
  <si>
    <t>Berechnung des Mindestumsatzes im Handelsbereich:</t>
  </si>
  <si>
    <t>Der angebene Handelsaufschlag entspricht einem durchschnittlich zu erreichenden Aufschlag</t>
  </si>
  <si>
    <t>auf das Handelssortiment.</t>
  </si>
  <si>
    <t>Notwendiger Cash-Flow im Planungszeitraum</t>
  </si>
  <si>
    <t>Gesamte Privatentnahmen</t>
  </si>
  <si>
    <t>Benötigt für Gesamtbetrag Zins, Tilgung und Privat</t>
  </si>
  <si>
    <t>Notwendig zur Deckung von Cash-Flow und betrieblichen Kosten</t>
  </si>
  <si>
    <t>Miete, Energie, Nebenkosten</t>
  </si>
  <si>
    <t>Fahrzeugkosten</t>
  </si>
  <si>
    <t>Werbung</t>
  </si>
  <si>
    <t>Sonstige Kosten</t>
  </si>
  <si>
    <t>Notwendiger gesamter Rohgewinn</t>
  </si>
  <si>
    <t>Dieser Rohgewinn wird zur Deckung der betrieblichen Kosten, des Lebensunterhaltes und des vollen Kapitaldiens-</t>
  </si>
  <si>
    <t>tes benötigt. In welchen betrieblichen Bereichen der Rohgewinn erwirtschaftet werden soll und welcher Mindest-</t>
  </si>
  <si>
    <t>zur Kostendeckung notwendiger Mindestumsatz Handel</t>
  </si>
  <si>
    <t>Rentabilitätsvorschau</t>
  </si>
  <si>
    <t>Notwendiger Mindestumsatz</t>
  </si>
  <si>
    <t>1. Jahr</t>
  </si>
  <si>
    <t>2. Jahr</t>
  </si>
  <si>
    <t>3. Jahr</t>
  </si>
  <si>
    <t>Umsatz Handwerk</t>
  </si>
  <si>
    <t>./. Materialeinsatz</t>
  </si>
  <si>
    <t>Umsatz Handel</t>
  </si>
  <si>
    <t>./. Wareneinsatz</t>
  </si>
  <si>
    <t>Rohgewinn I</t>
  </si>
  <si>
    <t>./. Personalkosten</t>
  </si>
  <si>
    <t>Rohgewinn II</t>
  </si>
  <si>
    <t>./. Sachkosten</t>
  </si>
  <si>
    <t>Erweiterter Cash-Flow</t>
  </si>
  <si>
    <t>./. Zinsen</t>
  </si>
  <si>
    <t>Cash-Flow</t>
  </si>
  <si>
    <t>./. Abschreibungen</t>
  </si>
  <si>
    <t>Reingewinn</t>
  </si>
  <si>
    <t>Kapitaldienstgrenze</t>
  </si>
  <si>
    <t>nach Umsatz</t>
  </si>
  <si>
    <t>+   sonstige Einkünfte</t>
  </si>
  <si>
    <t>=   GESAMTE ZUFLÜSSE</t>
  </si>
  <si>
    <t>./. Privatentnahmen</t>
  </si>
  <si>
    <t>./. Ersatzinvestitionen</t>
  </si>
  <si>
    <t>= KAPITALDIENSTGRENZE</t>
  </si>
  <si>
    <t>./. Kapitaldienst</t>
  </si>
  <si>
    <t>= Überschuß oder Fehlbetrag</t>
  </si>
  <si>
    <t>Ja</t>
  </si>
  <si>
    <t>Nein</t>
  </si>
  <si>
    <t>Schlussbemerkung</t>
  </si>
  <si>
    <t>Berechnung des möglichen Mindestumsatzes</t>
  </si>
  <si>
    <t>Lehrling</t>
  </si>
  <si>
    <t>Produktiv Beschäftigte</t>
  </si>
  <si>
    <t>Erlös Sonstige</t>
  </si>
  <si>
    <t>Materialerlöse aufgerundet   (ohne Materialaufschlag)</t>
  </si>
  <si>
    <t>Warengruppe:</t>
  </si>
  <si>
    <t>Einkauf</t>
  </si>
  <si>
    <t>Aufschlag</t>
  </si>
  <si>
    <t xml:space="preserve"> Handelsumsatz</t>
  </si>
  <si>
    <t xml:space="preserve">      €</t>
  </si>
  <si>
    <t xml:space="preserve">           €</t>
  </si>
  <si>
    <t>Handelsware A</t>
  </si>
  <si>
    <t>Handelsware B</t>
  </si>
  <si>
    <t>Möglicher Handelsumsatz</t>
  </si>
  <si>
    <t>Erreichter durchschnittlicher Handelsaufschlag in Prozent</t>
  </si>
  <si>
    <t>Das Ergebnis:</t>
  </si>
  <si>
    <t>notwendig</t>
  </si>
  <si>
    <t xml:space="preserve">  möglich</t>
  </si>
  <si>
    <t>+/-</t>
  </si>
  <si>
    <t>Umsatz</t>
  </si>
  <si>
    <t>Handwerk</t>
  </si>
  <si>
    <t>Handel</t>
  </si>
  <si>
    <t>Rohgewinn</t>
  </si>
  <si>
    <t>Gesamt</t>
  </si>
  <si>
    <t>Der Handelsumsatz im ersten Jahr:</t>
  </si>
  <si>
    <t>Der Handwerksumsatz im ersten Jahr:</t>
  </si>
  <si>
    <t>Stück</t>
  </si>
  <si>
    <t>AT/Jahr</t>
  </si>
  <si>
    <t>Einzelpreis</t>
  </si>
  <si>
    <t>Summe</t>
  </si>
  <si>
    <t>pro Tag</t>
  </si>
  <si>
    <t>pro Jahr</t>
  </si>
  <si>
    <t>produktive Stunden</t>
  </si>
  <si>
    <t xml:space="preserve"> Stundensatz</t>
  </si>
  <si>
    <t>€/Std.</t>
  </si>
  <si>
    <t>je Besch.</t>
  </si>
  <si>
    <t>Unternehmer</t>
  </si>
  <si>
    <t>produktive Beschäftigte</t>
  </si>
  <si>
    <t>Umsatzkostenstruktur bei</t>
  </si>
  <si>
    <t>% v. Umsatz</t>
  </si>
  <si>
    <t>Personal</t>
  </si>
  <si>
    <t>Das entspricht bei durchschnittlich</t>
  </si>
  <si>
    <t>Arbeitstagen</t>
  </si>
  <si>
    <t>pro Tag.</t>
  </si>
  <si>
    <t xml:space="preserve">    Tage</t>
  </si>
  <si>
    <t>Geb. Kap.</t>
  </si>
  <si>
    <t>Durchschnittl. Auftragsdauer</t>
  </si>
  <si>
    <t>Durchschnittl. Fakturierungsdauer</t>
  </si>
  <si>
    <t>Durchschnittl. Kundenziel</t>
  </si>
  <si>
    <t>Privatentnahmen während der Anlaufzeit</t>
  </si>
  <si>
    <t>Durchschnittlicher Lagerbestand</t>
  </si>
  <si>
    <t>Gesamtbedarf im Umlaufvermögen</t>
  </si>
  <si>
    <t>Zu finanzierender Restbedarf</t>
  </si>
  <si>
    <t>Liquiditätsplan</t>
  </si>
  <si>
    <t>- 1. Halbjahr -</t>
  </si>
  <si>
    <t>Liquiditätsbedarf/Liquiditätsüberschuß</t>
  </si>
  <si>
    <t>Monat</t>
  </si>
  <si>
    <t>Plan</t>
  </si>
  <si>
    <t>Ist</t>
  </si>
  <si>
    <t>euro</t>
  </si>
  <si>
    <t>a)</t>
  </si>
  <si>
    <t>Ausgaben</t>
  </si>
  <si>
    <t>Zahlung Handwerk</t>
  </si>
  <si>
    <t>Handelsware</t>
  </si>
  <si>
    <t>Zahlung Handel</t>
  </si>
  <si>
    <t>Zahlungseingang</t>
  </si>
  <si>
    <t>Privatentnahmen</t>
  </si>
  <si>
    <t>sonstige</t>
  </si>
  <si>
    <t>Kapitaldienst</t>
  </si>
  <si>
    <t>Umsatzsteuer</t>
  </si>
  <si>
    <t>b)</t>
  </si>
  <si>
    <t>Einnahmen</t>
  </si>
  <si>
    <t>Vorsteuer</t>
  </si>
  <si>
    <t>Sonstige</t>
  </si>
  <si>
    <t>Finanzbedarf/-überschuß</t>
  </si>
  <si>
    <t>c)</t>
  </si>
  <si>
    <t>Deckung des Liquiditätsbedarfs</t>
  </si>
  <si>
    <t>Girokonto</t>
  </si>
  <si>
    <t>Liquiditätsreserve</t>
  </si>
  <si>
    <t>Überbrückungsdarlehen</t>
  </si>
  <si>
    <t>langfristiges Darlehen</t>
  </si>
  <si>
    <t>d)</t>
  </si>
  <si>
    <t>Verwendung des Liquiditätsüberschusses</t>
  </si>
  <si>
    <t>langfristige Anlage</t>
  </si>
  <si>
    <t>e)</t>
  </si>
  <si>
    <t>Liquiditätsentwicklung</t>
  </si>
  <si>
    <t>Saldo Bedarf/Überschuß</t>
  </si>
  <si>
    <t>Best. Girokonto</t>
  </si>
  <si>
    <t>Best. Liquiditätsreserve</t>
  </si>
  <si>
    <t>Best. Darlehen</t>
  </si>
  <si>
    <t>- 2. Halbjahr -</t>
  </si>
  <si>
    <t>Bestand Girokonto</t>
  </si>
  <si>
    <t>Bestand Liquid.-Reserve</t>
  </si>
  <si>
    <t>Bestand Darlehen</t>
  </si>
  <si>
    <t>Materialeinsatz in € zu berechnen muss "im Hundert" gerechnet werden. Das geht so:</t>
  </si>
  <si>
    <t>Rohgewinn (Wertschöpfung):</t>
  </si>
  <si>
    <t>Materialeinsatz   :</t>
  </si>
  <si>
    <t>daraus berechnet: Bezugspreis der gesamten Handelsware</t>
  </si>
  <si>
    <t>für</t>
  </si>
  <si>
    <t xml:space="preserve">Hiermit versichere ich, dass ich die vorstehenden Angaben nach bestem Wissen und Gewissen </t>
  </si>
  <si>
    <t>gemacht habe.</t>
  </si>
  <si>
    <t>Finanz. Anteil</t>
  </si>
  <si>
    <t>Lebensunterhaltes aus Leistungssicht erreicht werden kann.</t>
  </si>
  <si>
    <t>zur Kostendeckung, Deckung des Kapitaldienstes und Erwirtschaftung des angemessenen</t>
  </si>
  <si>
    <t>Geschäftsplan</t>
  </si>
  <si>
    <t>L- Bank (GuW)</t>
  </si>
  <si>
    <t xml:space="preserve">Zur Berechnung des Materialeinsatzes: Um aus den vorhandenen Werten (Rohgewinn, prozentualer Materialeinsatz) den                                                                                                                                                                                                                                                                                                                                                                         </t>
  </si>
  <si>
    <t>tilgungs-frei</t>
  </si>
  <si>
    <t>Tilgungs-jahre</t>
  </si>
  <si>
    <t>= Überschuß /Fehlbetrag</t>
  </si>
  <si>
    <t>./. finanziert durch:</t>
  </si>
  <si>
    <t>Werkzeuge/Kleingeräte</t>
  </si>
  <si>
    <t>Steuer- und Rechtsberatung</t>
  </si>
  <si>
    <t>umsatz sich daraus ergibt, ist Bestandteil der nächsten Berechnung.</t>
  </si>
  <si>
    <t>Danach sind Lohnerlöse möglich von (gerundet)</t>
  </si>
  <si>
    <t>Möglicher Handwerksumsatz gerundet</t>
  </si>
  <si>
    <t>Waren und Material gesamt</t>
  </si>
  <si>
    <t>Umsatz gesamt</t>
  </si>
  <si>
    <t xml:space="preserve">    (z. B. Gründungszuschuss)</t>
  </si>
  <si>
    <t>Aus den bisherigen Berechnungen ergibt sich die Rentabilitätsvorschau der Spalte "Notwendiger Mindestumsatz" auf der nächsten Seite. Welcher Umsatz bzw. Ertrag im ersten, zweiten und dritten Jahr zur Deckung der betrieblichen und privaten Kosten erreicht werden soll, zeigen die Spalten "1. Jahr", "2. Jahr" bzw. "3. Jahr". Die Berechnung bezieht sich immer auf 12 Monate, unabhängig vom Monat des Betriebsbeginnes.</t>
  </si>
  <si>
    <t xml:space="preserve">Mit dieser Berechnung wird geprüft, ob und wieweit der berechnete notwendige Umsatz </t>
  </si>
  <si>
    <t>Geldeingang Handwerk</t>
  </si>
  <si>
    <t>Geldeingang Handel</t>
  </si>
  <si>
    <t>Geldeingang</t>
  </si>
  <si>
    <t>Ort, Datum</t>
  </si>
  <si>
    <t>Ich würde mich sehr freuen, wenn Sie mein Vorhaben unterstützen.</t>
  </si>
  <si>
    <t>Herrn</t>
  </si>
  <si>
    <t>Juni</t>
  </si>
  <si>
    <t>Juli</t>
  </si>
  <si>
    <t>August</t>
  </si>
  <si>
    <t>September</t>
  </si>
  <si>
    <t>Oktober</t>
  </si>
  <si>
    <t>November</t>
  </si>
  <si>
    <t>Dezember</t>
  </si>
  <si>
    <t>Januar</t>
  </si>
  <si>
    <t>Februar</t>
  </si>
  <si>
    <t>März</t>
  </si>
  <si>
    <t>April</t>
  </si>
  <si>
    <t>Mai</t>
  </si>
  <si>
    <t>Klaus Mustermann</t>
  </si>
  <si>
    <t>Hauptstr. 1</t>
  </si>
  <si>
    <t>69159 Mannheim</t>
  </si>
  <si>
    <t>Eventuell notwendige zusätzliche Sicherheiten:</t>
  </si>
  <si>
    <t>dass zusätzliche Sicherheiten benötigt werden.</t>
  </si>
  <si>
    <t>Je nach Wertansatz der vorhandenen Sicherheiten besteht allerdings die Möglichkeit,</t>
  </si>
  <si>
    <t>Leistungen/ Produkte</t>
  </si>
  <si>
    <t>Leistung/ Produkt a</t>
  </si>
  <si>
    <t>Leistung/ Produkt b</t>
  </si>
  <si>
    <t>Leistung/ Produkt c</t>
  </si>
  <si>
    <t>Leistung/ Produkt d</t>
  </si>
  <si>
    <t>Leistung/ Produkt e</t>
  </si>
  <si>
    <t>Leistung/ Produkt f</t>
  </si>
  <si>
    <t>Leistung/ Produkt g</t>
  </si>
  <si>
    <t>Leistung/ Produkt h</t>
  </si>
  <si>
    <t>Leistung/ Produkt i</t>
  </si>
  <si>
    <t>Leistung/ Produkt j</t>
  </si>
  <si>
    <t>Leistung/ Produkt k</t>
  </si>
  <si>
    <t>Leistung/ Produkt l</t>
  </si>
  <si>
    <t>Leistung/ Produkt m</t>
  </si>
  <si>
    <t>Leistung/ Produkt o</t>
  </si>
  <si>
    <t>Leistung/ Produkt n</t>
  </si>
  <si>
    <t>Summe Netto</t>
  </si>
  <si>
    <t>Summe Brutto</t>
  </si>
  <si>
    <t>Grundstücke / Gebäude</t>
  </si>
  <si>
    <t xml:space="preserve">Bauliche Maßnahmen </t>
  </si>
  <si>
    <t>Einrichtungen, Verkaufsraum</t>
  </si>
  <si>
    <t>Büroeinrichtung und  -ausstattung</t>
  </si>
  <si>
    <t>Versicherungen, Gebühren</t>
  </si>
  <si>
    <t>Maschinen, Geräte, Werkzeuge</t>
  </si>
  <si>
    <t>Bürobedarf/Telefon/Internet</t>
  </si>
  <si>
    <t>Buchhaltung</t>
  </si>
  <si>
    <t xml:space="preserve">Adressen </t>
  </si>
  <si>
    <t>L-Bank</t>
  </si>
  <si>
    <t xml:space="preserve">Börsenplatz 1 </t>
  </si>
  <si>
    <t>70174 Stuttgart</t>
  </si>
  <si>
    <t>www.l-bank.de</t>
  </si>
  <si>
    <t>Tel.: 0711 122-2345</t>
  </si>
  <si>
    <t>KfW</t>
  </si>
  <si>
    <t>Palmengartenstraße 5-9</t>
  </si>
  <si>
    <t>60325 Frankfurt am Main</t>
  </si>
  <si>
    <t>Tel.: 069 74 31-0</t>
  </si>
  <si>
    <t>www.kfw.de</t>
  </si>
  <si>
    <t>Bürgschaftsbank Baden-Württemberg GmbH</t>
  </si>
  <si>
    <t>Werastraße 13 - 17</t>
  </si>
  <si>
    <t>70182 Stuttgart</t>
  </si>
  <si>
    <t>Tel.: 0711 1645-6</t>
  </si>
  <si>
    <t>www.buergschaftsbank.de</t>
  </si>
  <si>
    <t>KfW-Unternehmerkredit</t>
  </si>
  <si>
    <t>Berechnung des notwendigen Umsatzes</t>
  </si>
  <si>
    <t>Materialkosten</t>
  </si>
  <si>
    <t>Personalkosten</t>
  </si>
  <si>
    <t xml:space="preserve">Betriebsmittelbedarf               </t>
  </si>
  <si>
    <t>Sachkosten</t>
  </si>
  <si>
    <t>Kundenanzahlungen (Abschlagszahlungen)</t>
  </si>
  <si>
    <t xml:space="preserve">                     </t>
  </si>
  <si>
    <t>Elektrotechnikermeister</t>
  </si>
  <si>
    <t>Existenzgründung Elektrotechnikbetrieb</t>
  </si>
  <si>
    <t xml:space="preserve">Dieses Dokument ist zur Verfügung gestellt worden von den Handwerkskammern Baden-Württemberg. Die Handwerkskammern Baden-Württemberg übernehmen keinerlei Gewähr für die Aktualität, Korrektheit, Vollständigkeit oder Qualität der Inhalte. </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</si>
</sst>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44" formatCode="_-* #,##0.00\ &quot;€&quot;_-;\-* #,##0.00\ &quot;€&quot;_-;_-* &quot;-&quot;??\ &quot;€&quot;_-;_-@_-"/>
    <numFmt numFmtId="164" formatCode="0_)"/>
    <numFmt numFmtId="165" formatCode="#,##0.00\ [$€-1]"/>
    <numFmt numFmtId="166" formatCode="#,##0\ [$€-1]"/>
    <numFmt numFmtId="167" formatCode="#,##0.00\ &quot;€&quot;"/>
    <numFmt numFmtId="168" formatCode="#,##0\ &quot;DM&quot;"/>
    <numFmt numFmtId="169" formatCode="&quot;aus&quot;\ #,##0\ &quot;€&quot;"/>
    <numFmt numFmtId="170" formatCode="#,##0\ &quot;DM&quot;_);\(#,##0\ &quot;DM&quot;\)"/>
    <numFmt numFmtId="171" formatCode="#,##0\ _D_M"/>
    <numFmt numFmtId="172" formatCode="0%\ &quot;vom Umsatz&quot;"/>
    <numFmt numFmtId="173" formatCode="0%\ \ \ \ \ &quot;*&quot;"/>
    <numFmt numFmtId="174" formatCode="#,##0\ \€&quot; Materialeinsatz&quot;"/>
    <numFmt numFmtId="175" formatCode="#,##0\ &quot;DM&quot;;\-#,##0\ &quot;DM&quot;"/>
    <numFmt numFmtId="176" formatCode="0.0%"/>
    <numFmt numFmtId="177" formatCode="0.00_)"/>
    <numFmt numFmtId="178" formatCode="_-* #,##0\ [$€-1]_-;\-* #,##0\ [$€-1]_-;_-* &quot;-&quot;\ [$€-1]_-;_-@_-"/>
    <numFmt numFmtId="179" formatCode="#,##0_ ;[Red]\-#,##0\ "/>
    <numFmt numFmtId="180" formatCode="#,##0_ ;\-#,##0\ "/>
    <numFmt numFmtId="181" formatCode="#,##0.00\ _€"/>
  </numFmts>
  <fonts count="72" x14ac:knownFonts="1">
    <font>
      <sz val="11"/>
      <color theme="1"/>
      <name val="Arial"/>
      <family val="2"/>
      <scheme val="minor"/>
    </font>
    <font>
      <sz val="10"/>
      <name val="Courier"/>
      <family val="3"/>
    </font>
    <font>
      <sz val="10"/>
      <color indexed="8"/>
      <name val="Arial"/>
      <family val="2"/>
    </font>
    <font>
      <sz val="11"/>
      <color indexed="8"/>
      <name val="Arial"/>
      <family val="2"/>
    </font>
    <font>
      <u/>
      <sz val="10"/>
      <color indexed="12"/>
      <name val="Arial"/>
      <family val="2"/>
    </font>
    <font>
      <sz val="8"/>
      <name val="Arial"/>
      <family val="2"/>
    </font>
    <font>
      <u/>
      <sz val="8"/>
      <name val="Arial"/>
      <family val="2"/>
    </font>
    <font>
      <b/>
      <u/>
      <sz val="8"/>
      <name val="Arial"/>
      <family val="2"/>
    </font>
    <font>
      <sz val="10"/>
      <name val="Arial"/>
      <family val="2"/>
    </font>
    <font>
      <b/>
      <sz val="8"/>
      <name val="Arial"/>
      <family val="2"/>
    </font>
    <font>
      <sz val="8"/>
      <color indexed="8"/>
      <name val="Arial"/>
      <family val="2"/>
    </font>
    <font>
      <b/>
      <sz val="10"/>
      <name val="Arial"/>
      <family val="2"/>
    </font>
    <font>
      <b/>
      <sz val="10"/>
      <color indexed="8"/>
      <name val="Arial"/>
      <family val="2"/>
    </font>
    <font>
      <sz val="11"/>
      <name val="Arial"/>
      <family val="2"/>
    </font>
    <font>
      <b/>
      <sz val="11"/>
      <name val="Arial"/>
      <family val="2"/>
    </font>
    <font>
      <sz val="9"/>
      <color indexed="8"/>
      <name val="Arial"/>
      <family val="2"/>
    </font>
    <font>
      <b/>
      <sz val="12"/>
      <color indexed="8"/>
      <name val="Arial"/>
      <family val="2"/>
    </font>
    <font>
      <sz val="14"/>
      <color indexed="8"/>
      <name val="Arial"/>
      <family val="2"/>
    </font>
    <font>
      <sz val="12"/>
      <color indexed="8"/>
      <name val="Arial"/>
      <family val="2"/>
    </font>
    <font>
      <b/>
      <sz val="12"/>
      <name val="Arial"/>
      <family val="2"/>
    </font>
    <font>
      <b/>
      <sz val="14"/>
      <name val="Arial"/>
      <family val="2"/>
    </font>
    <font>
      <b/>
      <sz val="14"/>
      <color indexed="8"/>
      <name val="Arial"/>
      <family val="2"/>
    </font>
    <font>
      <sz val="12"/>
      <name val="Arial"/>
      <family val="2"/>
    </font>
    <font>
      <b/>
      <u/>
      <sz val="12"/>
      <name val="Arial"/>
      <family val="2"/>
    </font>
    <font>
      <u/>
      <sz val="12"/>
      <color indexed="17"/>
      <name val="Arial"/>
      <family val="2"/>
    </font>
    <font>
      <sz val="12"/>
      <color indexed="12"/>
      <name val="Arial"/>
      <family val="2"/>
    </font>
    <font>
      <b/>
      <u/>
      <sz val="12"/>
      <color indexed="8"/>
      <name val="Arial"/>
      <family val="2"/>
    </font>
    <font>
      <i/>
      <sz val="12"/>
      <name val="Arial"/>
      <family val="2"/>
    </font>
    <font>
      <b/>
      <i/>
      <sz val="12"/>
      <name val="Arial"/>
      <family val="2"/>
    </font>
    <font>
      <b/>
      <i/>
      <sz val="12"/>
      <color indexed="8"/>
      <name val="Arial"/>
      <family val="2"/>
    </font>
    <font>
      <b/>
      <sz val="12"/>
      <color indexed="12"/>
      <name val="Arial"/>
      <family val="2"/>
    </font>
    <font>
      <b/>
      <sz val="16"/>
      <color indexed="8"/>
      <name val="Arial"/>
      <family val="2"/>
    </font>
    <font>
      <sz val="13"/>
      <color indexed="8"/>
      <name val="Arial"/>
      <family val="2"/>
    </font>
    <font>
      <sz val="11"/>
      <color theme="1"/>
      <name val="Arial"/>
      <family val="2"/>
      <scheme val="minor"/>
    </font>
    <font>
      <sz val="10"/>
      <name val="Arial"/>
      <family val="2"/>
      <scheme val="minor"/>
    </font>
    <font>
      <sz val="8"/>
      <name val="Arial"/>
      <family val="2"/>
      <scheme val="minor"/>
    </font>
    <font>
      <b/>
      <sz val="10"/>
      <name val="Arial"/>
      <family val="2"/>
      <scheme val="minor"/>
    </font>
    <font>
      <b/>
      <sz val="16"/>
      <color theme="0"/>
      <name val="Arial"/>
      <family val="2"/>
    </font>
    <font>
      <b/>
      <sz val="10"/>
      <color theme="0"/>
      <name val="Arial"/>
      <family val="2"/>
    </font>
    <font>
      <b/>
      <sz val="10"/>
      <color rgb="FFFF0000"/>
      <name val="Arial"/>
      <family val="2"/>
    </font>
    <font>
      <sz val="10"/>
      <color rgb="FFFF0000"/>
      <name val="Arial"/>
      <family val="2"/>
    </font>
    <font>
      <sz val="10"/>
      <color theme="0"/>
      <name val="Arial"/>
      <family val="2"/>
    </font>
    <font>
      <sz val="9"/>
      <color theme="1"/>
      <name val="Arial"/>
      <family val="2"/>
      <scheme val="minor"/>
    </font>
    <font>
      <sz val="11"/>
      <color theme="1"/>
      <name val="Arial"/>
      <family val="2"/>
    </font>
    <font>
      <b/>
      <sz val="14"/>
      <color theme="0"/>
      <name val="Arial"/>
      <family val="2"/>
    </font>
    <font>
      <sz val="11"/>
      <color theme="0"/>
      <name val="Arial"/>
      <family val="2"/>
    </font>
    <font>
      <sz val="12"/>
      <color theme="1"/>
      <name val="Arial"/>
      <family val="2"/>
    </font>
    <font>
      <sz val="12"/>
      <color theme="1"/>
      <name val="Arial"/>
      <family val="2"/>
      <scheme val="minor"/>
    </font>
    <font>
      <sz val="14"/>
      <color theme="1"/>
      <name val="Arial"/>
      <family val="2"/>
    </font>
    <font>
      <b/>
      <sz val="14"/>
      <color theme="1"/>
      <name val="Arial"/>
      <family val="2"/>
    </font>
    <font>
      <b/>
      <sz val="12"/>
      <color theme="1"/>
      <name val="Arial"/>
      <family val="2"/>
    </font>
    <font>
      <sz val="12"/>
      <color theme="0"/>
      <name val="Arial"/>
      <family val="2"/>
    </font>
    <font>
      <b/>
      <sz val="12"/>
      <color theme="0"/>
      <name val="Arial"/>
      <family val="2"/>
    </font>
    <font>
      <sz val="13"/>
      <color theme="1"/>
      <name val="Arial"/>
      <family val="2"/>
      <scheme val="minor"/>
    </font>
    <font>
      <sz val="48"/>
      <color theme="1"/>
      <name val="Arial"/>
      <family val="2"/>
      <scheme val="minor"/>
    </font>
    <font>
      <b/>
      <sz val="28"/>
      <color theme="1"/>
      <name val="Arial"/>
      <family val="2"/>
      <scheme val="minor"/>
    </font>
    <font>
      <b/>
      <sz val="11"/>
      <color theme="1"/>
      <name val="Arial"/>
      <family val="2"/>
    </font>
    <font>
      <sz val="10"/>
      <color theme="1"/>
      <name val="Arial"/>
      <family val="2"/>
      <scheme val="minor"/>
    </font>
    <font>
      <sz val="10"/>
      <color theme="1"/>
      <name val="Arial"/>
      <family val="2"/>
    </font>
    <font>
      <sz val="11"/>
      <color theme="0"/>
      <name val="Arial"/>
      <family val="2"/>
      <scheme val="minor"/>
    </font>
    <font>
      <sz val="8"/>
      <color rgb="FF000000"/>
      <name val="Tahoma"/>
      <family val="2"/>
    </font>
    <font>
      <b/>
      <sz val="11"/>
      <color theme="3"/>
      <name val="Arial"/>
      <family val="2"/>
    </font>
    <font>
      <sz val="11"/>
      <color theme="3"/>
      <name val="Arial"/>
      <family val="2"/>
    </font>
    <font>
      <sz val="11"/>
      <color theme="3"/>
      <name val="Arial"/>
      <family val="2"/>
      <scheme val="minor"/>
    </font>
    <font>
      <sz val="10"/>
      <color theme="3"/>
      <name val="Arial"/>
      <family val="2"/>
    </font>
    <font>
      <sz val="10"/>
      <color theme="3"/>
      <name val="Arial"/>
      <family val="2"/>
      <scheme val="minor"/>
    </font>
    <font>
      <sz val="12"/>
      <color theme="3"/>
      <name val="Arial"/>
      <family val="2"/>
    </font>
    <font>
      <b/>
      <sz val="12"/>
      <color theme="3"/>
      <name val="Arial"/>
      <family val="2"/>
    </font>
    <font>
      <sz val="10"/>
      <color theme="3"/>
      <name val="Arial"/>
      <family val="2"/>
      <scheme val="major"/>
    </font>
    <font>
      <sz val="10"/>
      <color theme="4"/>
      <name val="Arial"/>
      <family val="2"/>
    </font>
    <font>
      <u/>
      <sz val="12"/>
      <name val="Arial"/>
      <family val="2"/>
    </font>
    <font>
      <sz val="11"/>
      <name val="Arial"/>
      <family val="2"/>
      <scheme val="minor"/>
    </font>
  </fonts>
  <fills count="12">
    <fill>
      <patternFill patternType="none"/>
    </fill>
    <fill>
      <patternFill patternType="gray125"/>
    </fill>
    <fill>
      <patternFill patternType="solid">
        <fgColor indexed="9"/>
        <bgColor indexed="64"/>
      </patternFill>
    </fill>
    <fill>
      <patternFill patternType="solid">
        <fgColor indexed="9"/>
        <bgColor indexed="22"/>
      </patternFill>
    </fill>
    <fill>
      <patternFill patternType="solid">
        <fgColor theme="0" tint="-0.14999847407452621"/>
        <bgColor indexed="64"/>
      </patternFill>
    </fill>
    <fill>
      <patternFill patternType="solid">
        <fgColor theme="0" tint="-0.499984740745262"/>
        <bgColor indexed="64"/>
      </patternFill>
    </fill>
    <fill>
      <patternFill patternType="solid">
        <fgColor theme="0"/>
        <bgColor indexed="64"/>
      </patternFill>
    </fill>
    <fill>
      <patternFill patternType="solid">
        <fgColor theme="0" tint="-0.14996795556505021"/>
        <bgColor indexed="64"/>
      </patternFill>
    </fill>
    <fill>
      <patternFill patternType="solid">
        <fgColor theme="0" tint="-0.499984740745262"/>
        <bgColor indexed="22"/>
      </patternFill>
    </fill>
    <fill>
      <patternFill patternType="solid">
        <fgColor theme="0" tint="-0.14999847407452621"/>
        <bgColor indexed="22"/>
      </patternFill>
    </fill>
    <fill>
      <patternFill patternType="solid">
        <fgColor theme="1" tint="0.499984740745262"/>
        <bgColor indexed="64"/>
      </patternFill>
    </fill>
    <fill>
      <patternFill patternType="solid">
        <fgColor theme="0" tint="-0.249977111117893"/>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hair">
        <color indexed="64"/>
      </right>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right/>
      <top/>
      <bottom style="medium">
        <color indexed="64"/>
      </bottom>
      <diagonal/>
    </border>
    <border>
      <left/>
      <right style="hair">
        <color indexed="64"/>
      </right>
      <top style="thin">
        <color indexed="64"/>
      </top>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top style="thin">
        <color indexed="64"/>
      </top>
      <bottom style="thin">
        <color indexed="64"/>
      </bottom>
      <diagonal/>
    </border>
  </borders>
  <cellStyleXfs count="5">
    <xf numFmtId="0" fontId="0" fillId="0" borderId="0"/>
    <xf numFmtId="0" fontId="4" fillId="0" borderId="0" applyNumberFormat="0" applyFill="0" applyBorder="0" applyAlignment="0" applyProtection="0">
      <alignment vertical="top"/>
      <protection locked="0"/>
    </xf>
    <xf numFmtId="9" fontId="33" fillId="0" borderId="0" applyFont="0" applyFill="0" applyBorder="0" applyAlignment="0" applyProtection="0"/>
    <xf numFmtId="0" fontId="8" fillId="0" borderId="0"/>
    <xf numFmtId="44" fontId="33" fillId="0" borderId="0" applyFont="0" applyFill="0" applyBorder="0" applyAlignment="0" applyProtection="0"/>
  </cellStyleXfs>
  <cellXfs count="978">
    <xf numFmtId="0" fontId="0" fillId="0" borderId="0" xfId="0"/>
    <xf numFmtId="164" fontId="34" fillId="0" borderId="0" xfId="0" applyNumberFormat="1" applyFont="1" applyAlignment="1" applyProtection="1">
      <alignment horizontal="left" vertical="center"/>
    </xf>
    <xf numFmtId="164" fontId="34" fillId="0" borderId="0" xfId="0" applyNumberFormat="1" applyFont="1" applyAlignment="1" applyProtection="1">
      <alignment vertical="center"/>
    </xf>
    <xf numFmtId="0" fontId="0" fillId="0" borderId="0" xfId="0" applyFont="1"/>
    <xf numFmtId="164" fontId="2" fillId="0" borderId="0" xfId="0" applyNumberFormat="1" applyFont="1" applyAlignment="1" applyProtection="1">
      <alignment vertical="center"/>
    </xf>
    <xf numFmtId="164" fontId="5" fillId="0" borderId="1" xfId="0" applyNumberFormat="1" applyFont="1" applyBorder="1" applyProtection="1"/>
    <xf numFmtId="164" fontId="8" fillId="0" borderId="0" xfId="0" applyNumberFormat="1" applyFont="1" applyProtection="1"/>
    <xf numFmtId="164" fontId="6" fillId="0" borderId="1" xfId="0" applyNumberFormat="1" applyFont="1" applyBorder="1" applyAlignment="1" applyProtection="1">
      <alignment horizontal="center"/>
    </xf>
    <xf numFmtId="10" fontId="5" fillId="0" borderId="2" xfId="2" applyNumberFormat="1" applyFont="1" applyBorder="1" applyProtection="1"/>
    <xf numFmtId="164" fontId="5" fillId="0" borderId="2" xfId="0" applyNumberFormat="1" applyFont="1" applyBorder="1" applyProtection="1"/>
    <xf numFmtId="164" fontId="6" fillId="0" borderId="3" xfId="0" applyNumberFormat="1" applyFont="1" applyBorder="1" applyProtection="1"/>
    <xf numFmtId="164" fontId="7" fillId="0" borderId="3" xfId="0" applyNumberFormat="1" applyFont="1" applyBorder="1" applyProtection="1"/>
    <xf numFmtId="164" fontId="6" fillId="0" borderId="4" xfId="0" applyNumberFormat="1" applyFont="1" applyBorder="1" applyProtection="1"/>
    <xf numFmtId="164" fontId="7" fillId="0" borderId="5" xfId="0" applyNumberFormat="1" applyFont="1" applyBorder="1" applyProtection="1"/>
    <xf numFmtId="0" fontId="5" fillId="2" borderId="6" xfId="1" applyFont="1" applyFill="1" applyBorder="1" applyAlignment="1" applyProtection="1">
      <alignment vertical="top" wrapText="1"/>
    </xf>
    <xf numFmtId="164" fontId="9" fillId="0" borderId="7" xfId="0" applyNumberFormat="1" applyFont="1" applyBorder="1" applyProtection="1"/>
    <xf numFmtId="164" fontId="5" fillId="0" borderId="7" xfId="0" applyNumberFormat="1" applyFont="1" applyBorder="1" applyProtection="1"/>
    <xf numFmtId="164" fontId="5" fillId="0" borderId="6" xfId="0" applyNumberFormat="1" applyFont="1" applyBorder="1" applyProtection="1"/>
    <xf numFmtId="164" fontId="8" fillId="0" borderId="7" xfId="0" applyNumberFormat="1" applyFont="1" applyBorder="1" applyProtection="1"/>
    <xf numFmtId="164" fontId="5" fillId="0" borderId="8" xfId="0" applyNumberFormat="1" applyFont="1" applyBorder="1" applyProtection="1"/>
    <xf numFmtId="164" fontId="8" fillId="0" borderId="2" xfId="0" applyNumberFormat="1" applyFont="1" applyBorder="1" applyProtection="1"/>
    <xf numFmtId="164" fontId="5" fillId="0" borderId="5" xfId="0" applyNumberFormat="1" applyFont="1" applyBorder="1" applyProtection="1"/>
    <xf numFmtId="164" fontId="5" fillId="0" borderId="9" xfId="0" applyNumberFormat="1" applyFont="1" applyBorder="1" applyProtection="1"/>
    <xf numFmtId="164" fontId="34" fillId="0" borderId="0" xfId="0" applyNumberFormat="1" applyFont="1" applyProtection="1"/>
    <xf numFmtId="168" fontId="35" fillId="0" borderId="0" xfId="0" applyNumberFormat="1" applyFont="1" applyBorder="1" applyAlignment="1" applyProtection="1">
      <alignment horizontal="center" vertical="center"/>
    </xf>
    <xf numFmtId="168" fontId="35" fillId="0" borderId="0" xfId="0" applyNumberFormat="1" applyFont="1" applyBorder="1" applyAlignment="1" applyProtection="1">
      <alignment horizontal="center"/>
    </xf>
    <xf numFmtId="164" fontId="8" fillId="0" borderId="0" xfId="0" applyNumberFormat="1" applyFont="1" applyAlignment="1" applyProtection="1">
      <alignment vertical="center"/>
    </xf>
    <xf numFmtId="164" fontId="1" fillId="0" borderId="0" xfId="0" applyNumberFormat="1" applyFont="1" applyProtection="1"/>
    <xf numFmtId="170" fontId="36" fillId="0" borderId="0" xfId="0" applyNumberFormat="1" applyFont="1" applyAlignment="1" applyProtection="1">
      <alignment vertical="center"/>
    </xf>
    <xf numFmtId="164" fontId="13" fillId="0" borderId="0" xfId="0" applyNumberFormat="1" applyFont="1" applyAlignment="1" applyProtection="1">
      <alignment vertical="center"/>
    </xf>
    <xf numFmtId="179" fontId="37" fillId="5" borderId="8" xfId="3" applyNumberFormat="1" applyFont="1" applyFill="1" applyBorder="1" applyAlignment="1" applyProtection="1">
      <alignment horizontal="centerContinuous" vertical="center"/>
    </xf>
    <xf numFmtId="179" fontId="38" fillId="5" borderId="12" xfId="3" applyNumberFormat="1" applyFont="1" applyFill="1" applyBorder="1" applyAlignment="1" applyProtection="1">
      <alignment horizontal="centerContinuous" vertical="center"/>
    </xf>
    <xf numFmtId="179" fontId="37" fillId="5" borderId="12" xfId="3" applyNumberFormat="1" applyFont="1" applyFill="1" applyBorder="1" applyAlignment="1" applyProtection="1">
      <alignment horizontal="centerContinuous" vertical="center"/>
    </xf>
    <xf numFmtId="180" fontId="37" fillId="5" borderId="12" xfId="3" quotePrefix="1" applyNumberFormat="1" applyFont="1" applyFill="1" applyBorder="1" applyAlignment="1" applyProtection="1">
      <alignment vertical="center"/>
    </xf>
    <xf numFmtId="179" fontId="38" fillId="5" borderId="12" xfId="3" applyNumberFormat="1" applyFont="1" applyFill="1" applyBorder="1" applyAlignment="1" applyProtection="1">
      <alignment vertical="center"/>
    </xf>
    <xf numFmtId="180" fontId="38" fillId="5" borderId="12" xfId="3" applyNumberFormat="1" applyFont="1" applyFill="1" applyBorder="1" applyAlignment="1" applyProtection="1">
      <alignment vertical="center"/>
    </xf>
    <xf numFmtId="179" fontId="37" fillId="5" borderId="12" xfId="3" applyNumberFormat="1" applyFont="1" applyFill="1" applyBorder="1" applyAlignment="1" applyProtection="1">
      <alignment vertical="center"/>
    </xf>
    <xf numFmtId="179" fontId="38" fillId="5" borderId="2" xfId="3" applyNumberFormat="1" applyFont="1" applyFill="1" applyBorder="1" applyAlignment="1" applyProtection="1">
      <alignment vertical="center"/>
    </xf>
    <xf numFmtId="179" fontId="12" fillId="0" borderId="0" xfId="3" applyNumberFormat="1" applyFont="1" applyProtection="1"/>
    <xf numFmtId="180" fontId="2" fillId="2" borderId="0" xfId="3" applyNumberFormat="1" applyFont="1" applyFill="1" applyBorder="1" applyProtection="1"/>
    <xf numFmtId="179" fontId="8" fillId="0" borderId="0" xfId="3" applyNumberFormat="1" applyProtection="1"/>
    <xf numFmtId="179" fontId="8" fillId="0" borderId="0" xfId="3" applyNumberFormat="1" applyBorder="1" applyProtection="1"/>
    <xf numFmtId="179" fontId="12" fillId="0" borderId="0" xfId="3" applyNumberFormat="1" applyFont="1" applyFill="1" applyProtection="1"/>
    <xf numFmtId="179" fontId="12" fillId="0" borderId="1" xfId="3" applyNumberFormat="1" applyFont="1" applyFill="1" applyBorder="1" applyProtection="1"/>
    <xf numFmtId="180" fontId="12" fillId="0" borderId="13" xfId="3" applyNumberFormat="1" applyFont="1" applyFill="1" applyBorder="1" applyAlignment="1" applyProtection="1">
      <alignment horizontal="center"/>
    </xf>
    <xf numFmtId="179" fontId="12" fillId="0" borderId="7" xfId="3" applyNumberFormat="1" applyFont="1" applyFill="1" applyBorder="1" applyAlignment="1" applyProtection="1">
      <alignment horizontal="center"/>
    </xf>
    <xf numFmtId="179" fontId="11" fillId="2" borderId="0" xfId="3" applyNumberFormat="1" applyFont="1" applyFill="1" applyAlignment="1" applyProtection="1">
      <alignment horizontal="center"/>
    </xf>
    <xf numFmtId="179" fontId="11" fillId="2" borderId="1" xfId="3" applyNumberFormat="1" applyFont="1" applyFill="1" applyBorder="1" applyAlignment="1" applyProtection="1">
      <alignment horizontal="center"/>
    </xf>
    <xf numFmtId="179" fontId="2" fillId="0" borderId="1" xfId="3" applyNumberFormat="1" applyFont="1" applyFill="1" applyBorder="1" applyProtection="1"/>
    <xf numFmtId="179" fontId="2" fillId="2" borderId="0" xfId="3" applyNumberFormat="1" applyFont="1" applyFill="1" applyProtection="1"/>
    <xf numFmtId="179" fontId="2" fillId="2" borderId="1" xfId="3" applyNumberFormat="1" applyFont="1" applyFill="1" applyBorder="1" applyProtection="1"/>
    <xf numFmtId="179" fontId="2" fillId="2" borderId="16" xfId="3" applyNumberFormat="1" applyFont="1" applyFill="1" applyBorder="1" applyProtection="1"/>
    <xf numFmtId="179" fontId="2" fillId="2" borderId="15" xfId="3" applyNumberFormat="1" applyFont="1" applyFill="1" applyBorder="1" applyProtection="1"/>
    <xf numFmtId="179" fontId="2" fillId="2" borderId="17" xfId="3" applyNumberFormat="1" applyFont="1" applyFill="1" applyBorder="1" applyProtection="1"/>
    <xf numFmtId="179" fontId="12" fillId="2" borderId="0" xfId="3" applyNumberFormat="1" applyFont="1" applyFill="1" applyProtection="1"/>
    <xf numFmtId="179" fontId="8" fillId="0" borderId="0" xfId="3" applyNumberFormat="1" applyFont="1" applyProtection="1"/>
    <xf numFmtId="179" fontId="8" fillId="0" borderId="0" xfId="3" applyNumberFormat="1" applyFont="1" applyBorder="1" applyProtection="1"/>
    <xf numFmtId="180" fontId="2" fillId="0" borderId="0" xfId="3" applyNumberFormat="1" applyFont="1" applyProtection="1"/>
    <xf numFmtId="179" fontId="12" fillId="0" borderId="0" xfId="3" applyNumberFormat="1" applyFont="1" applyFill="1" applyBorder="1" applyProtection="1"/>
    <xf numFmtId="179" fontId="2" fillId="4" borderId="8" xfId="3" applyNumberFormat="1" applyFont="1" applyFill="1" applyBorder="1" applyAlignment="1" applyProtection="1">
      <alignment horizontal="center"/>
    </xf>
    <xf numFmtId="179" fontId="2" fillId="4" borderId="2" xfId="3" applyNumberFormat="1" applyFont="1" applyFill="1" applyBorder="1" applyAlignment="1" applyProtection="1">
      <alignment horizontal="center"/>
    </xf>
    <xf numFmtId="179" fontId="12" fillId="2" borderId="1" xfId="3" applyNumberFormat="1" applyFont="1" applyFill="1" applyBorder="1" applyProtection="1"/>
    <xf numFmtId="179" fontId="39" fillId="2" borderId="1" xfId="3" applyNumberFormat="1" applyFont="1" applyFill="1" applyBorder="1" applyProtection="1"/>
    <xf numFmtId="179" fontId="40" fillId="2" borderId="1" xfId="3" applyNumberFormat="1" applyFont="1" applyFill="1" applyBorder="1" applyProtection="1"/>
    <xf numFmtId="179" fontId="8" fillId="0" borderId="1" xfId="3" applyNumberFormat="1" applyBorder="1" applyProtection="1"/>
    <xf numFmtId="179" fontId="2" fillId="0" borderId="15" xfId="3" applyNumberFormat="1" applyFont="1" applyFill="1" applyBorder="1" applyProtection="1"/>
    <xf numFmtId="0" fontId="42" fillId="0" borderId="0" xfId="0" applyFont="1"/>
    <xf numFmtId="0" fontId="43" fillId="0" borderId="0" xfId="0" applyNumberFormat="1" applyFont="1"/>
    <xf numFmtId="0" fontId="43" fillId="0" borderId="0" xfId="0" applyFont="1"/>
    <xf numFmtId="164" fontId="3" fillId="0" borderId="0" xfId="0" applyNumberFormat="1" applyFont="1" applyProtection="1"/>
    <xf numFmtId="164" fontId="15" fillId="0" borderId="1" xfId="0" applyNumberFormat="1" applyFont="1" applyBorder="1" applyAlignment="1" applyProtection="1">
      <alignment horizontal="left"/>
    </xf>
    <xf numFmtId="164" fontId="15" fillId="0" borderId="1" xfId="0" applyNumberFormat="1" applyFont="1" applyBorder="1" applyProtection="1"/>
    <xf numFmtId="164" fontId="15" fillId="0" borderId="0" xfId="0" applyNumberFormat="1" applyFont="1" applyProtection="1"/>
    <xf numFmtId="164" fontId="2" fillId="0" borderId="0" xfId="0" applyNumberFormat="1" applyFont="1" applyProtection="1"/>
    <xf numFmtId="164" fontId="15" fillId="0" borderId="8" xfId="0" applyNumberFormat="1" applyFont="1" applyBorder="1" applyProtection="1"/>
    <xf numFmtId="164" fontId="15" fillId="0" borderId="12" xfId="0" applyNumberFormat="1" applyFont="1" applyBorder="1" applyProtection="1"/>
    <xf numFmtId="164" fontId="15" fillId="0" borderId="2" xfId="0" applyNumberFormat="1" applyFont="1" applyBorder="1" applyProtection="1"/>
    <xf numFmtId="164" fontId="15" fillId="0" borderId="3" xfId="0" applyNumberFormat="1" applyFont="1" applyBorder="1" applyProtection="1"/>
    <xf numFmtId="164" fontId="15" fillId="0" borderId="3" xfId="0" applyNumberFormat="1" applyFont="1" applyBorder="1" applyAlignment="1" applyProtection="1">
      <alignment horizontal="left"/>
    </xf>
    <xf numFmtId="2" fontId="10" fillId="0" borderId="0" xfId="0" applyNumberFormat="1" applyFont="1" applyProtection="1"/>
    <xf numFmtId="164" fontId="15" fillId="0" borderId="20" xfId="0" applyNumberFormat="1" applyFont="1" applyBorder="1" applyProtection="1"/>
    <xf numFmtId="3" fontId="2" fillId="0" borderId="0" xfId="0" applyNumberFormat="1" applyFont="1" applyProtection="1"/>
    <xf numFmtId="2" fontId="10" fillId="0" borderId="1" xfId="0" applyNumberFormat="1" applyFont="1" applyBorder="1" applyAlignment="1" applyProtection="1">
      <alignment horizontal="left"/>
    </xf>
    <xf numFmtId="2" fontId="10" fillId="0" borderId="1" xfId="0" applyNumberFormat="1" applyFont="1" applyBorder="1" applyAlignment="1" applyProtection="1">
      <alignment vertical="center"/>
    </xf>
    <xf numFmtId="2" fontId="10" fillId="0" borderId="1" xfId="0" applyNumberFormat="1" applyFont="1" applyBorder="1" applyAlignment="1" applyProtection="1">
      <alignment horizontal="center" vertical="center"/>
    </xf>
    <xf numFmtId="2" fontId="10" fillId="4" borderId="3" xfId="0" applyNumberFormat="1" applyFont="1" applyFill="1" applyBorder="1" applyAlignment="1" applyProtection="1">
      <alignment horizontal="right"/>
    </xf>
    <xf numFmtId="3" fontId="10" fillId="4" borderId="3" xfId="0" applyNumberFormat="1" applyFont="1" applyFill="1" applyBorder="1" applyProtection="1"/>
    <xf numFmtId="2" fontId="10" fillId="4" borderId="6" xfId="0" applyNumberFormat="1" applyFont="1" applyFill="1" applyBorder="1" applyAlignment="1" applyProtection="1">
      <alignment horizontal="left"/>
    </xf>
    <xf numFmtId="2" fontId="10" fillId="4" borderId="21" xfId="0" applyNumberFormat="1" applyFont="1" applyFill="1" applyBorder="1" applyAlignment="1" applyProtection="1">
      <alignment horizontal="right"/>
    </xf>
    <xf numFmtId="3" fontId="10" fillId="4" borderId="21" xfId="0" applyNumberFormat="1" applyFont="1" applyFill="1" applyBorder="1" applyProtection="1"/>
    <xf numFmtId="2" fontId="10" fillId="4" borderId="21" xfId="0" applyNumberFormat="1" applyFont="1" applyFill="1" applyBorder="1" applyProtection="1"/>
    <xf numFmtId="2" fontId="10" fillId="4" borderId="6" xfId="0" applyNumberFormat="1" applyFont="1" applyFill="1" applyBorder="1" applyProtection="1"/>
    <xf numFmtId="2" fontId="10" fillId="4" borderId="20" xfId="0" applyNumberFormat="1" applyFont="1" applyFill="1" applyBorder="1" applyAlignment="1" applyProtection="1">
      <alignment horizontal="right"/>
    </xf>
    <xf numFmtId="3" fontId="10" fillId="4" borderId="20" xfId="0" applyNumberFormat="1" applyFont="1" applyFill="1" applyBorder="1" applyProtection="1"/>
    <xf numFmtId="2" fontId="5" fillId="0" borderId="1" xfId="0" applyNumberFormat="1" applyFont="1" applyBorder="1" applyProtection="1"/>
    <xf numFmtId="2" fontId="5" fillId="0" borderId="1" xfId="0" applyNumberFormat="1" applyFont="1" applyBorder="1" applyAlignment="1" applyProtection="1">
      <alignment vertical="center"/>
    </xf>
    <xf numFmtId="2" fontId="5" fillId="0" borderId="1" xfId="0" applyNumberFormat="1" applyFont="1" applyBorder="1" applyAlignment="1" applyProtection="1">
      <alignment horizontal="center" vertical="center"/>
    </xf>
    <xf numFmtId="2" fontId="10" fillId="0" borderId="0" xfId="0" applyNumberFormat="1" applyFont="1" applyAlignment="1" applyProtection="1">
      <alignment horizontal="left"/>
    </xf>
    <xf numFmtId="2" fontId="10" fillId="4" borderId="1" xfId="0" applyNumberFormat="1" applyFont="1" applyFill="1" applyBorder="1" applyAlignment="1" applyProtection="1">
      <alignment horizontal="left" vertical="center"/>
    </xf>
    <xf numFmtId="1" fontId="10" fillId="4" borderId="1" xfId="0" applyNumberFormat="1" applyFont="1" applyFill="1" applyBorder="1" applyAlignment="1" applyProtection="1">
      <alignment horizontal="center"/>
    </xf>
    <xf numFmtId="1" fontId="10" fillId="0" borderId="1" xfId="0" applyNumberFormat="1" applyFont="1" applyBorder="1" applyAlignment="1" applyProtection="1">
      <alignment horizontal="center"/>
    </xf>
    <xf numFmtId="3" fontId="10" fillId="0" borderId="1" xfId="0" applyNumberFormat="1" applyFont="1" applyBorder="1" applyProtection="1"/>
    <xf numFmtId="3" fontId="10" fillId="0" borderId="8" xfId="0" applyNumberFormat="1" applyFont="1" applyBorder="1" applyProtection="1"/>
    <xf numFmtId="2" fontId="10" fillId="0" borderId="8" xfId="0" applyNumberFormat="1" applyFont="1" applyBorder="1" applyProtection="1"/>
    <xf numFmtId="0" fontId="43" fillId="0" borderId="11" xfId="0" applyFont="1" applyBorder="1"/>
    <xf numFmtId="164" fontId="44" fillId="0" borderId="0" xfId="0" applyNumberFormat="1" applyFont="1" applyFill="1" applyAlignment="1" applyProtection="1">
      <alignment vertical="center"/>
    </xf>
    <xf numFmtId="168" fontId="2" fillId="0" borderId="0" xfId="0" applyNumberFormat="1" applyFont="1" applyProtection="1"/>
    <xf numFmtId="164" fontId="16" fillId="0" borderId="0" xfId="0" applyNumberFormat="1" applyFont="1" applyFill="1" applyAlignment="1" applyProtection="1">
      <alignment horizontal="left" vertical="center"/>
    </xf>
    <xf numFmtId="164" fontId="14" fillId="2" borderId="0" xfId="0" applyNumberFormat="1" applyFont="1" applyFill="1" applyBorder="1" applyAlignment="1" applyProtection="1">
      <alignment horizontal="left" vertical="center"/>
    </xf>
    <xf numFmtId="164" fontId="13" fillId="2" borderId="0" xfId="0" applyNumberFormat="1" applyFont="1" applyFill="1" applyAlignment="1" applyProtection="1">
      <alignment vertical="center"/>
    </xf>
    <xf numFmtId="179" fontId="8" fillId="2" borderId="0" xfId="3" applyNumberFormat="1" applyFont="1" applyFill="1" applyBorder="1" applyProtection="1"/>
    <xf numFmtId="179" fontId="8" fillId="5" borderId="1" xfId="3" applyNumberFormat="1" applyFont="1" applyFill="1" applyBorder="1" applyProtection="1"/>
    <xf numFmtId="0" fontId="46" fillId="0" borderId="0" xfId="0" applyFont="1"/>
    <xf numFmtId="0" fontId="47" fillId="0" borderId="0" xfId="0" applyFont="1"/>
    <xf numFmtId="164" fontId="18" fillId="0" borderId="0" xfId="0" applyNumberFormat="1" applyFont="1" applyBorder="1" applyAlignment="1" applyProtection="1">
      <alignment vertical="center"/>
    </xf>
    <xf numFmtId="164" fontId="18" fillId="0" borderId="7" xfId="0" applyNumberFormat="1" applyFont="1" applyBorder="1" applyAlignment="1" applyProtection="1">
      <alignment vertical="center"/>
    </xf>
    <xf numFmtId="164" fontId="18" fillId="0" borderId="6" xfId="0" applyNumberFormat="1" applyFont="1" applyBorder="1" applyAlignment="1" applyProtection="1">
      <alignment vertical="center"/>
    </xf>
    <xf numFmtId="164" fontId="18" fillId="0" borderId="22" xfId="0" applyNumberFormat="1" applyFont="1" applyBorder="1" applyAlignment="1" applyProtection="1">
      <alignment vertical="center"/>
    </xf>
    <xf numFmtId="164" fontId="18" fillId="0" borderId="10" xfId="0" applyNumberFormat="1" applyFont="1" applyBorder="1" applyAlignment="1" applyProtection="1">
      <alignment vertical="center"/>
    </xf>
    <xf numFmtId="164" fontId="18" fillId="0" borderId="0" xfId="0" applyNumberFormat="1" applyFont="1" applyAlignment="1" applyProtection="1">
      <alignment horizontal="left" vertical="center"/>
    </xf>
    <xf numFmtId="164" fontId="16" fillId="0" borderId="0" xfId="0" applyNumberFormat="1" applyFont="1" applyAlignment="1" applyProtection="1">
      <alignment horizontal="left" vertical="center"/>
    </xf>
    <xf numFmtId="164" fontId="17" fillId="0" borderId="0" xfId="0" applyNumberFormat="1" applyFont="1" applyBorder="1" applyAlignment="1" applyProtection="1">
      <alignment vertical="center"/>
    </xf>
    <xf numFmtId="164" fontId="17" fillId="0" borderId="7" xfId="0" applyNumberFormat="1" applyFont="1" applyBorder="1" applyAlignment="1" applyProtection="1">
      <alignment vertical="center"/>
    </xf>
    <xf numFmtId="164" fontId="17" fillId="4" borderId="3" xfId="0" applyNumberFormat="1" applyFont="1" applyFill="1" applyBorder="1" applyAlignment="1" applyProtection="1">
      <alignment horizontal="center" vertical="center"/>
    </xf>
    <xf numFmtId="164" fontId="17" fillId="4" borderId="21" xfId="0" applyNumberFormat="1" applyFont="1" applyFill="1" applyBorder="1" applyAlignment="1" applyProtection="1">
      <alignment horizontal="center" vertical="center"/>
    </xf>
    <xf numFmtId="164" fontId="17" fillId="0" borderId="10" xfId="0" applyNumberFormat="1" applyFont="1" applyBorder="1" applyAlignment="1" applyProtection="1">
      <alignment vertical="center"/>
    </xf>
    <xf numFmtId="164" fontId="17" fillId="4" borderId="20" xfId="0" applyNumberFormat="1" applyFont="1" applyFill="1" applyBorder="1" applyAlignment="1" applyProtection="1">
      <alignment horizontal="center" vertical="center"/>
    </xf>
    <xf numFmtId="164" fontId="17" fillId="4" borderId="4" xfId="0" applyNumberFormat="1" applyFont="1" applyFill="1" applyBorder="1" applyAlignment="1" applyProtection="1">
      <alignment horizontal="left" vertical="center"/>
    </xf>
    <xf numFmtId="164" fontId="17" fillId="4" borderId="1" xfId="0" applyNumberFormat="1" applyFont="1" applyFill="1" applyBorder="1" applyAlignment="1" applyProtection="1">
      <alignment horizontal="left" vertical="center"/>
    </xf>
    <xf numFmtId="164" fontId="17" fillId="4" borderId="22" xfId="0" applyNumberFormat="1" applyFont="1" applyFill="1" applyBorder="1" applyAlignment="1" applyProtection="1">
      <alignment horizontal="left" vertical="center"/>
    </xf>
    <xf numFmtId="164" fontId="17" fillId="0" borderId="12" xfId="0" applyNumberFormat="1" applyFont="1" applyFill="1" applyBorder="1" applyAlignment="1" applyProtection="1">
      <alignment horizontal="left" vertical="center"/>
    </xf>
    <xf numFmtId="164" fontId="17" fillId="0" borderId="2" xfId="0" applyNumberFormat="1" applyFont="1" applyFill="1" applyBorder="1" applyAlignment="1" applyProtection="1">
      <alignment horizontal="left" vertical="center"/>
    </xf>
    <xf numFmtId="2" fontId="17" fillId="4" borderId="1" xfId="0" applyNumberFormat="1" applyFont="1" applyFill="1" applyBorder="1" applyAlignment="1" applyProtection="1">
      <alignment horizontal="left" vertical="center"/>
    </xf>
    <xf numFmtId="164" fontId="17" fillId="0" borderId="0" xfId="0" applyNumberFormat="1" applyFont="1" applyFill="1" applyBorder="1" applyAlignment="1" applyProtection="1">
      <alignment horizontal="left" vertical="center"/>
    </xf>
    <xf numFmtId="164" fontId="17" fillId="4" borderId="6" xfId="0" applyNumberFormat="1" applyFont="1" applyFill="1" applyBorder="1" applyAlignment="1" applyProtection="1">
      <alignment horizontal="left" vertical="center"/>
    </xf>
    <xf numFmtId="164" fontId="17" fillId="4" borderId="3" xfId="0" applyNumberFormat="1" applyFont="1" applyFill="1" applyBorder="1" applyAlignment="1" applyProtection="1">
      <alignment horizontal="left" vertical="center"/>
    </xf>
    <xf numFmtId="164" fontId="20" fillId="0" borderId="4" xfId="0" applyNumberFormat="1" applyFont="1" applyBorder="1" applyAlignment="1" applyProtection="1">
      <alignment horizontal="left" vertical="center"/>
    </xf>
    <xf numFmtId="164" fontId="20" fillId="0" borderId="5" xfId="0" applyNumberFormat="1" applyFont="1" applyBorder="1" applyAlignment="1" applyProtection="1">
      <alignment horizontal="left" vertical="center"/>
    </xf>
    <xf numFmtId="164" fontId="20" fillId="0" borderId="8" xfId="0" applyNumberFormat="1" applyFont="1" applyBorder="1" applyAlignment="1" applyProtection="1">
      <alignment horizontal="left" vertical="center"/>
    </xf>
    <xf numFmtId="164" fontId="20" fillId="0" borderId="2" xfId="0" applyNumberFormat="1" applyFont="1" applyBorder="1" applyAlignment="1" applyProtection="1">
      <alignment horizontal="left" vertical="center"/>
    </xf>
    <xf numFmtId="164" fontId="17" fillId="0" borderId="0" xfId="0" applyNumberFormat="1" applyFont="1" applyAlignment="1" applyProtection="1">
      <alignment horizontal="left" vertical="center"/>
    </xf>
    <xf numFmtId="164" fontId="21" fillId="0" borderId="8" xfId="0" applyNumberFormat="1" applyFont="1" applyFill="1" applyBorder="1" applyAlignment="1" applyProtection="1">
      <alignment horizontal="left" vertical="center"/>
    </xf>
    <xf numFmtId="164" fontId="21" fillId="0" borderId="2" xfId="0" applyNumberFormat="1" applyFont="1" applyFill="1" applyBorder="1" applyAlignment="1" applyProtection="1">
      <alignment horizontal="left" vertical="center"/>
    </xf>
    <xf numFmtId="164" fontId="21" fillId="0" borderId="22" xfId="0" applyNumberFormat="1" applyFont="1" applyFill="1" applyBorder="1" applyAlignment="1" applyProtection="1">
      <alignment horizontal="left" vertical="center"/>
    </xf>
    <xf numFmtId="164" fontId="21" fillId="0" borderId="9" xfId="0" applyNumberFormat="1" applyFont="1" applyFill="1" applyBorder="1" applyAlignment="1" applyProtection="1">
      <alignment horizontal="left" vertical="center"/>
    </xf>
    <xf numFmtId="164" fontId="18" fillId="0" borderId="0" xfId="0" applyNumberFormat="1" applyFont="1" applyProtection="1"/>
    <xf numFmtId="168" fontId="16" fillId="4" borderId="0" xfId="0" applyNumberFormat="1" applyFont="1" applyFill="1" applyBorder="1" applyAlignment="1" applyProtection="1">
      <alignment horizontal="right" vertical="center"/>
    </xf>
    <xf numFmtId="168" fontId="19" fillId="4" borderId="0" xfId="0" applyNumberFormat="1" applyFont="1" applyFill="1" applyBorder="1" applyAlignment="1" applyProtection="1">
      <alignment horizontal="right"/>
    </xf>
    <xf numFmtId="164" fontId="22" fillId="0" borderId="0" xfId="0" applyNumberFormat="1" applyFont="1" applyProtection="1"/>
    <xf numFmtId="168" fontId="22" fillId="0" borderId="0" xfId="0" applyNumberFormat="1" applyFont="1" applyBorder="1" applyAlignment="1" applyProtection="1">
      <alignment horizontal="center" vertical="center"/>
    </xf>
    <xf numFmtId="168" fontId="22" fillId="0" borderId="0" xfId="0" applyNumberFormat="1" applyFont="1" applyBorder="1" applyAlignment="1" applyProtection="1">
      <alignment horizontal="center"/>
    </xf>
    <xf numFmtId="164" fontId="19" fillId="4" borderId="0" xfId="0" applyNumberFormat="1" applyFont="1" applyFill="1" applyProtection="1"/>
    <xf numFmtId="164" fontId="22" fillId="0" borderId="0" xfId="0" applyNumberFormat="1" applyFont="1" applyBorder="1" applyProtection="1"/>
    <xf numFmtId="164" fontId="23" fillId="0" borderId="0" xfId="0" applyNumberFormat="1" applyFont="1" applyProtection="1"/>
    <xf numFmtId="164" fontId="22" fillId="0" borderId="10" xfId="0" applyNumberFormat="1" applyFont="1" applyBorder="1" applyProtection="1"/>
    <xf numFmtId="164" fontId="19" fillId="4" borderId="8" xfId="0" applyNumberFormat="1" applyFont="1" applyFill="1" applyBorder="1" applyProtection="1"/>
    <xf numFmtId="164" fontId="22" fillId="4" borderId="12" xfId="0" applyNumberFormat="1" applyFont="1" applyFill="1" applyBorder="1" applyProtection="1"/>
    <xf numFmtId="164" fontId="19" fillId="4" borderId="0" xfId="0" applyNumberFormat="1" applyFont="1" applyFill="1" applyAlignment="1" applyProtection="1">
      <alignment horizontal="left" vertical="center"/>
    </xf>
    <xf numFmtId="164" fontId="22" fillId="4" borderId="0" xfId="0" applyNumberFormat="1" applyFont="1" applyFill="1" applyAlignment="1" applyProtection="1">
      <alignment vertical="center"/>
    </xf>
    <xf numFmtId="164" fontId="22" fillId="0" borderId="0" xfId="0" applyNumberFormat="1" applyFont="1" applyAlignment="1" applyProtection="1">
      <alignment vertical="center"/>
    </xf>
    <xf numFmtId="164" fontId="22" fillId="0" borderId="0" xfId="0" applyNumberFormat="1" applyFont="1" applyFill="1" applyAlignment="1" applyProtection="1">
      <alignment vertical="center"/>
    </xf>
    <xf numFmtId="181" fontId="46" fillId="0" borderId="0" xfId="0" applyNumberFormat="1" applyFont="1" applyAlignment="1">
      <alignment vertical="center"/>
    </xf>
    <xf numFmtId="164" fontId="22" fillId="0" borderId="0" xfId="0" applyNumberFormat="1" applyFont="1" applyBorder="1" applyAlignment="1" applyProtection="1">
      <alignment vertical="center"/>
    </xf>
    <xf numFmtId="164" fontId="22" fillId="0" borderId="10" xfId="0" applyNumberFormat="1" applyFont="1" applyBorder="1" applyAlignment="1" applyProtection="1">
      <alignment vertical="center"/>
    </xf>
    <xf numFmtId="164" fontId="22" fillId="0" borderId="0" xfId="0" applyNumberFormat="1" applyFont="1" applyAlignment="1" applyProtection="1">
      <alignment horizontal="left" vertical="center"/>
    </xf>
    <xf numFmtId="164" fontId="19" fillId="4" borderId="8" xfId="0" applyNumberFormat="1" applyFont="1" applyFill="1" applyBorder="1" applyAlignment="1" applyProtection="1">
      <alignment horizontal="left" vertical="center"/>
    </xf>
    <xf numFmtId="164" fontId="22" fillId="4" borderId="12" xfId="0" applyNumberFormat="1" applyFont="1" applyFill="1" applyBorder="1" applyAlignment="1" applyProtection="1">
      <alignment vertical="center"/>
    </xf>
    <xf numFmtId="0" fontId="46" fillId="4" borderId="12" xfId="0" applyFont="1" applyFill="1" applyBorder="1"/>
    <xf numFmtId="164" fontId="18" fillId="0" borderId="0" xfId="0" applyNumberFormat="1" applyFont="1" applyAlignment="1" applyProtection="1">
      <alignment horizontal="fill" vertical="center"/>
    </xf>
    <xf numFmtId="164" fontId="24" fillId="0" borderId="0" xfId="1" applyNumberFormat="1" applyFont="1" applyAlignment="1" applyProtection="1">
      <alignment horizontal="center" vertical="center"/>
    </xf>
    <xf numFmtId="164" fontId="22" fillId="0" borderId="3" xfId="0" applyNumberFormat="1" applyFont="1" applyBorder="1" applyAlignment="1" applyProtection="1">
      <alignment vertical="center"/>
    </xf>
    <xf numFmtId="0" fontId="46" fillId="4" borderId="3" xfId="0" applyFont="1" applyFill="1" applyBorder="1" applyAlignment="1">
      <alignment horizontal="center" vertical="center"/>
    </xf>
    <xf numFmtId="164" fontId="22" fillId="0" borderId="6" xfId="0" applyNumberFormat="1" applyFont="1" applyBorder="1" applyAlignment="1" applyProtection="1">
      <alignment vertical="center"/>
    </xf>
    <xf numFmtId="167" fontId="46" fillId="0" borderId="3" xfId="0" applyNumberFormat="1" applyFont="1" applyBorder="1"/>
    <xf numFmtId="1" fontId="46" fillId="0" borderId="3" xfId="0" applyNumberFormat="1" applyFont="1" applyBorder="1"/>
    <xf numFmtId="164" fontId="22" fillId="0" borderId="6" xfId="0" applyNumberFormat="1" applyFont="1" applyBorder="1" applyAlignment="1" applyProtection="1">
      <alignment horizontal="left" vertical="center"/>
    </xf>
    <xf numFmtId="167" fontId="46" fillId="0" borderId="21" xfId="0" applyNumberFormat="1" applyFont="1" applyBorder="1"/>
    <xf numFmtId="1" fontId="46" fillId="0" borderId="21" xfId="0" applyNumberFormat="1" applyFont="1" applyBorder="1"/>
    <xf numFmtId="2" fontId="46" fillId="0" borderId="11" xfId="0" applyNumberFormat="1" applyFont="1" applyBorder="1"/>
    <xf numFmtId="1" fontId="46" fillId="0" borderId="5" xfId="0" applyNumberFormat="1" applyFont="1" applyBorder="1"/>
    <xf numFmtId="164" fontId="22" fillId="0" borderId="22" xfId="0" applyNumberFormat="1" applyFont="1" applyBorder="1" applyAlignment="1" applyProtection="1">
      <alignment horizontal="left" vertical="center"/>
    </xf>
    <xf numFmtId="167" fontId="46" fillId="0" borderId="20" xfId="0" applyNumberFormat="1" applyFont="1" applyBorder="1"/>
    <xf numFmtId="2" fontId="46" fillId="0" borderId="9" xfId="0" applyNumberFormat="1" applyFont="1" applyBorder="1"/>
    <xf numFmtId="0" fontId="50" fillId="4" borderId="8" xfId="0" applyFont="1" applyFill="1" applyBorder="1"/>
    <xf numFmtId="167" fontId="50" fillId="4" borderId="12" xfId="0" applyNumberFormat="1" applyFont="1" applyFill="1" applyBorder="1"/>
    <xf numFmtId="0" fontId="50" fillId="4" borderId="12" xfId="0" applyFont="1" applyFill="1" applyBorder="1"/>
    <xf numFmtId="0" fontId="46" fillId="4" borderId="2" xfId="0" applyFont="1" applyFill="1" applyBorder="1"/>
    <xf numFmtId="164" fontId="19" fillId="0" borderId="0" xfId="0" applyNumberFormat="1" applyFont="1" applyAlignment="1" applyProtection="1">
      <alignment horizontal="left" vertical="center"/>
    </xf>
    <xf numFmtId="3" fontId="22" fillId="0" borderId="0" xfId="0" applyNumberFormat="1" applyFont="1" applyAlignment="1" applyProtection="1">
      <alignment horizontal="right" vertical="center"/>
    </xf>
    <xf numFmtId="164" fontId="22" fillId="0" borderId="0" xfId="0" quotePrefix="1" applyNumberFormat="1" applyFont="1" applyAlignment="1" applyProtection="1">
      <alignment horizontal="left" vertical="center"/>
    </xf>
    <xf numFmtId="166" fontId="22" fillId="0" borderId="0" xfId="0" applyNumberFormat="1" applyFont="1" applyAlignment="1" applyProtection="1">
      <alignment vertical="center"/>
    </xf>
    <xf numFmtId="164" fontId="22" fillId="0" borderId="0" xfId="0" quotePrefix="1" applyNumberFormat="1" applyFont="1" applyAlignment="1" applyProtection="1">
      <alignment vertical="center"/>
    </xf>
    <xf numFmtId="164" fontId="19" fillId="0" borderId="0" xfId="0" applyNumberFormat="1" applyFont="1" applyAlignment="1" applyProtection="1">
      <alignment vertical="center"/>
    </xf>
    <xf numFmtId="164" fontId="22" fillId="0" borderId="0" xfId="0" applyNumberFormat="1" applyFont="1" applyAlignment="1" applyProtection="1"/>
    <xf numFmtId="164" fontId="19" fillId="0" borderId="0" xfId="0" applyNumberFormat="1" applyFont="1" applyAlignment="1" applyProtection="1"/>
    <xf numFmtId="166" fontId="22" fillId="0" borderId="0" xfId="0" applyNumberFormat="1" applyFont="1" applyAlignment="1" applyProtection="1">
      <alignment horizontal="center"/>
    </xf>
    <xf numFmtId="168" fontId="18" fillId="4" borderId="3" xfId="0" applyNumberFormat="1" applyFont="1" applyFill="1" applyBorder="1" applyAlignment="1" applyProtection="1">
      <alignment horizontal="center" vertical="center"/>
    </xf>
    <xf numFmtId="168" fontId="18" fillId="4" borderId="5" xfId="0" applyNumberFormat="1" applyFont="1" applyFill="1" applyBorder="1" applyAlignment="1" applyProtection="1">
      <alignment horizontal="center" vertical="center"/>
    </xf>
    <xf numFmtId="168" fontId="19" fillId="0" borderId="0" xfId="0" applyNumberFormat="1" applyFont="1" applyProtection="1"/>
    <xf numFmtId="168" fontId="19" fillId="0" borderId="5" xfId="0" applyNumberFormat="1" applyFont="1" applyBorder="1" applyProtection="1"/>
    <xf numFmtId="168" fontId="22" fillId="0" borderId="0" xfId="0" applyNumberFormat="1" applyFont="1" applyProtection="1"/>
    <xf numFmtId="166" fontId="22" fillId="0" borderId="7" xfId="0" applyNumberFormat="1" applyFont="1" applyBorder="1" applyProtection="1"/>
    <xf numFmtId="166" fontId="22" fillId="0" borderId="9" xfId="0" applyNumberFormat="1" applyFont="1" applyBorder="1" applyProtection="1"/>
    <xf numFmtId="168" fontId="19" fillId="4" borderId="8" xfId="0" applyNumberFormat="1" applyFont="1" applyFill="1" applyBorder="1" applyProtection="1"/>
    <xf numFmtId="166" fontId="19" fillId="4" borderId="12" xfId="0" applyNumberFormat="1" applyFont="1" applyFill="1" applyBorder="1" applyProtection="1"/>
    <xf numFmtId="166" fontId="19" fillId="4" borderId="1" xfId="0" applyNumberFormat="1" applyFont="1" applyFill="1" applyBorder="1" applyProtection="1"/>
    <xf numFmtId="164" fontId="22" fillId="4" borderId="20" xfId="0" applyNumberFormat="1" applyFont="1" applyFill="1" applyBorder="1" applyAlignment="1" applyProtection="1">
      <alignment horizontal="center" vertical="center"/>
    </xf>
    <xf numFmtId="164" fontId="22" fillId="0" borderId="0" xfId="0" applyNumberFormat="1" applyFont="1" applyBorder="1" applyAlignment="1" applyProtection="1">
      <alignment horizontal="left" vertical="center"/>
    </xf>
    <xf numFmtId="168" fontId="19" fillId="0" borderId="11" xfId="0" applyNumberFormat="1" applyFont="1" applyBorder="1" applyProtection="1"/>
    <xf numFmtId="168" fontId="23" fillId="0" borderId="0" xfId="0" applyNumberFormat="1" applyFont="1" applyProtection="1"/>
    <xf numFmtId="164" fontId="18" fillId="0" borderId="0" xfId="0" applyNumberFormat="1" applyFont="1" applyAlignment="1" applyProtection="1">
      <alignment vertical="top" wrapText="1"/>
    </xf>
    <xf numFmtId="164" fontId="18" fillId="0" borderId="0" xfId="0" applyNumberFormat="1" applyFont="1" applyAlignment="1" applyProtection="1">
      <alignment vertical="center"/>
    </xf>
    <xf numFmtId="164" fontId="19" fillId="4" borderId="0" xfId="0" applyNumberFormat="1" applyFont="1" applyFill="1" applyBorder="1" applyAlignment="1" applyProtection="1">
      <alignment vertical="center"/>
    </xf>
    <xf numFmtId="164" fontId="18" fillId="4" borderId="0" xfId="0" applyNumberFormat="1" applyFont="1" applyFill="1" applyBorder="1" applyAlignment="1" applyProtection="1">
      <alignment vertical="center"/>
    </xf>
    <xf numFmtId="164" fontId="18" fillId="4" borderId="0" xfId="0" applyNumberFormat="1" applyFont="1" applyFill="1" applyBorder="1" applyAlignment="1" applyProtection="1">
      <alignment horizontal="right" vertical="center"/>
    </xf>
    <xf numFmtId="164" fontId="18" fillId="4" borderId="0" xfId="0" applyNumberFormat="1" applyFont="1" applyFill="1" applyBorder="1" applyAlignment="1" applyProtection="1">
      <alignment horizontal="center" vertical="center"/>
    </xf>
    <xf numFmtId="164" fontId="22" fillId="4" borderId="0" xfId="0" applyNumberFormat="1" applyFont="1" applyFill="1" applyBorder="1" applyAlignment="1" applyProtection="1">
      <alignment horizontal="center"/>
    </xf>
    <xf numFmtId="164" fontId="46" fillId="0" borderId="0" xfId="0" applyNumberFormat="1" applyFont="1" applyProtection="1"/>
    <xf numFmtId="3" fontId="18" fillId="0" borderId="0" xfId="0" applyNumberFormat="1" applyFont="1" applyAlignment="1" applyProtection="1">
      <alignment horizontal="right"/>
    </xf>
    <xf numFmtId="3" fontId="18" fillId="0" borderId="6" xfId="0" applyNumberFormat="1" applyFont="1" applyBorder="1" applyAlignment="1" applyProtection="1">
      <alignment horizontal="right" vertical="center"/>
    </xf>
    <xf numFmtId="3" fontId="22" fillId="0" borderId="6" xfId="0" applyNumberFormat="1" applyFont="1" applyBorder="1" applyAlignment="1" applyProtection="1">
      <alignment horizontal="right" vertical="center"/>
    </xf>
    <xf numFmtId="164" fontId="22" fillId="0" borderId="10" xfId="0" applyNumberFormat="1" applyFont="1" applyBorder="1" applyAlignment="1" applyProtection="1">
      <alignment horizontal="left" vertical="center"/>
    </xf>
    <xf numFmtId="3" fontId="22" fillId="0" borderId="22" xfId="0" applyNumberFormat="1" applyFont="1" applyBorder="1" applyAlignment="1" applyProtection="1">
      <alignment horizontal="right" vertical="center"/>
    </xf>
    <xf numFmtId="3" fontId="19" fillId="0" borderId="0" xfId="0" applyNumberFormat="1" applyFont="1" applyAlignment="1" applyProtection="1">
      <alignment vertical="center"/>
    </xf>
    <xf numFmtId="3" fontId="19" fillId="0" borderId="11" xfId="0" applyNumberFormat="1" applyFont="1" applyBorder="1" applyAlignment="1" applyProtection="1">
      <alignment horizontal="right" vertical="center"/>
    </xf>
    <xf numFmtId="164" fontId="19" fillId="0" borderId="0" xfId="0" applyNumberFormat="1" applyFont="1" applyProtection="1"/>
    <xf numFmtId="3" fontId="22" fillId="0" borderId="0" xfId="0" applyNumberFormat="1" applyFont="1" applyAlignment="1" applyProtection="1">
      <alignment vertical="center"/>
    </xf>
    <xf numFmtId="164" fontId="22" fillId="0" borderId="0" xfId="0" quotePrefix="1" applyNumberFormat="1" applyFont="1" applyBorder="1" applyAlignment="1" applyProtection="1">
      <alignment horizontal="left" vertical="center"/>
    </xf>
    <xf numFmtId="3" fontId="22" fillId="0" borderId="0" xfId="0" applyNumberFormat="1" applyFont="1" applyBorder="1" applyAlignment="1" applyProtection="1">
      <alignment vertical="center"/>
    </xf>
    <xf numFmtId="169" fontId="22" fillId="0" borderId="0" xfId="0" applyNumberFormat="1" applyFont="1" applyBorder="1" applyAlignment="1" applyProtection="1">
      <alignment horizontal="left" vertical="center"/>
    </xf>
    <xf numFmtId="164" fontId="22" fillId="0" borderId="10" xfId="0" quotePrefix="1" applyNumberFormat="1" applyFont="1" applyBorder="1" applyAlignment="1" applyProtection="1">
      <alignment horizontal="left" vertical="center"/>
    </xf>
    <xf numFmtId="3" fontId="22" fillId="0" borderId="10" xfId="0" applyNumberFormat="1" applyFont="1" applyBorder="1" applyAlignment="1" applyProtection="1">
      <alignment vertical="center"/>
    </xf>
    <xf numFmtId="3" fontId="19" fillId="0" borderId="0" xfId="0" applyNumberFormat="1" applyFont="1" applyAlignment="1" applyProtection="1">
      <alignment horizontal="right" vertical="center"/>
    </xf>
    <xf numFmtId="166" fontId="22" fillId="0" borderId="10" xfId="0" applyNumberFormat="1" applyFont="1" applyBorder="1" applyAlignment="1" applyProtection="1">
      <alignment vertical="center"/>
    </xf>
    <xf numFmtId="170" fontId="22" fillId="0" borderId="0" xfId="0" applyNumberFormat="1" applyFont="1" applyAlignment="1" applyProtection="1">
      <alignment vertical="center"/>
    </xf>
    <xf numFmtId="171" fontId="22" fillId="0" borderId="0" xfId="0" applyNumberFormat="1" applyFont="1" applyAlignment="1" applyProtection="1">
      <alignment vertical="center"/>
    </xf>
    <xf numFmtId="164" fontId="22" fillId="4" borderId="12" xfId="0" applyNumberFormat="1" applyFont="1" applyFill="1" applyBorder="1" applyAlignment="1" applyProtection="1">
      <alignment horizontal="right" vertical="center"/>
    </xf>
    <xf numFmtId="166" fontId="19" fillId="4" borderId="2" xfId="0" applyNumberFormat="1" applyFont="1" applyFill="1" applyBorder="1" applyAlignment="1" applyProtection="1">
      <alignment vertical="center"/>
    </xf>
    <xf numFmtId="171" fontId="19" fillId="0" borderId="0" xfId="0" applyNumberFormat="1" applyFont="1" applyAlignment="1" applyProtection="1">
      <alignment vertical="center"/>
    </xf>
    <xf numFmtId="164" fontId="19" fillId="4" borderId="0" xfId="0" quotePrefix="1" applyNumberFormat="1" applyFont="1" applyFill="1" applyAlignment="1" applyProtection="1">
      <alignment horizontal="left" vertical="center"/>
    </xf>
    <xf numFmtId="164" fontId="22" fillId="4" borderId="0" xfId="0" applyNumberFormat="1" applyFont="1" applyFill="1" applyBorder="1" applyAlignment="1" applyProtection="1">
      <alignment horizontal="center" vertical="center"/>
    </xf>
    <xf numFmtId="171" fontId="22" fillId="4" borderId="0" xfId="0" applyNumberFormat="1" applyFont="1" applyFill="1" applyBorder="1" applyAlignment="1" applyProtection="1">
      <alignment vertical="center"/>
    </xf>
    <xf numFmtId="171" fontId="22" fillId="0" borderId="0" xfId="0" applyNumberFormat="1" applyFont="1" applyBorder="1" applyAlignment="1" applyProtection="1">
      <alignment horizontal="center" vertical="center"/>
    </xf>
    <xf numFmtId="171" fontId="22" fillId="0" borderId="0" xfId="0" applyNumberFormat="1" applyFont="1" applyAlignment="1" applyProtection="1">
      <alignment horizontal="right" vertical="center"/>
    </xf>
    <xf numFmtId="166" fontId="22" fillId="0" borderId="10" xfId="0" applyNumberFormat="1" applyFont="1" applyBorder="1" applyAlignment="1" applyProtection="1">
      <alignment horizontal="right" vertical="center"/>
    </xf>
    <xf numFmtId="3" fontId="22" fillId="0" borderId="0" xfId="0" applyNumberFormat="1" applyFont="1" applyBorder="1" applyAlignment="1" applyProtection="1">
      <alignment horizontal="right" vertical="center"/>
    </xf>
    <xf numFmtId="168" fontId="22" fillId="0" borderId="0" xfId="0" applyNumberFormat="1" applyFont="1" applyBorder="1" applyAlignment="1" applyProtection="1">
      <alignment horizontal="right" vertical="center"/>
    </xf>
    <xf numFmtId="164" fontId="19" fillId="4" borderId="8" xfId="0" applyNumberFormat="1" applyFont="1" applyFill="1" applyBorder="1" applyAlignment="1" applyProtection="1">
      <alignment vertical="center"/>
    </xf>
    <xf numFmtId="164" fontId="19" fillId="4" borderId="12" xfId="0" applyNumberFormat="1" applyFont="1" applyFill="1" applyBorder="1" applyAlignment="1" applyProtection="1">
      <alignment vertical="center"/>
    </xf>
    <xf numFmtId="3" fontId="19" fillId="4" borderId="12" xfId="0" applyNumberFormat="1" applyFont="1" applyFill="1" applyBorder="1" applyAlignment="1" applyProtection="1">
      <alignment horizontal="right" vertical="center"/>
    </xf>
    <xf numFmtId="164" fontId="19" fillId="0" borderId="0" xfId="0" applyNumberFormat="1" applyFont="1" applyBorder="1" applyAlignment="1" applyProtection="1">
      <alignment vertical="center"/>
    </xf>
    <xf numFmtId="3" fontId="19" fillId="0" borderId="0" xfId="0" applyNumberFormat="1" applyFont="1" applyBorder="1" applyAlignment="1" applyProtection="1">
      <alignment horizontal="right" vertical="center"/>
    </xf>
    <xf numFmtId="168" fontId="19" fillId="0" borderId="0" xfId="0" applyNumberFormat="1" applyFont="1" applyBorder="1" applyAlignment="1" applyProtection="1">
      <alignment vertical="center"/>
    </xf>
    <xf numFmtId="164" fontId="18" fillId="0" borderId="0" xfId="0" applyNumberFormat="1" applyFont="1" applyBorder="1" applyAlignment="1" applyProtection="1">
      <alignment horizontal="left" vertical="center"/>
    </xf>
    <xf numFmtId="164" fontId="25" fillId="0" borderId="0" xfId="0" applyNumberFormat="1" applyFont="1" applyBorder="1" applyAlignment="1" applyProtection="1">
      <alignment horizontal="center" vertical="center"/>
    </xf>
    <xf numFmtId="171" fontId="25" fillId="0" borderId="0" xfId="0" applyNumberFormat="1" applyFont="1" applyBorder="1" applyProtection="1"/>
    <xf numFmtId="171" fontId="18" fillId="0" borderId="0" xfId="0" applyNumberFormat="1" applyFont="1" applyBorder="1" applyAlignment="1" applyProtection="1">
      <alignment vertical="center"/>
    </xf>
    <xf numFmtId="168" fontId="18" fillId="0" borderId="0" xfId="0" applyNumberFormat="1" applyFont="1" applyBorder="1" applyAlignment="1" applyProtection="1">
      <alignment vertical="center"/>
    </xf>
    <xf numFmtId="164" fontId="16" fillId="4" borderId="8" xfId="0" applyNumberFormat="1" applyFont="1" applyFill="1" applyBorder="1" applyAlignment="1" applyProtection="1">
      <alignment horizontal="left" vertical="center"/>
    </xf>
    <xf numFmtId="164" fontId="18" fillId="4" borderId="12" xfId="0" applyNumberFormat="1" applyFont="1" applyFill="1" applyBorder="1" applyAlignment="1" applyProtection="1">
      <alignment vertical="center"/>
    </xf>
    <xf numFmtId="166" fontId="16" fillId="4" borderId="2" xfId="0" applyNumberFormat="1" applyFont="1" applyFill="1" applyBorder="1" applyAlignment="1" applyProtection="1">
      <alignment vertical="center"/>
    </xf>
    <xf numFmtId="164" fontId="16" fillId="0" borderId="0" xfId="0" applyNumberFormat="1" applyFont="1" applyBorder="1" applyAlignment="1" applyProtection="1">
      <alignment horizontal="left" vertical="center"/>
    </xf>
    <xf numFmtId="168" fontId="16" fillId="0" borderId="0" xfId="0" applyNumberFormat="1" applyFont="1" applyBorder="1" applyAlignment="1" applyProtection="1">
      <alignment vertical="center"/>
    </xf>
    <xf numFmtId="170" fontId="16" fillId="0" borderId="0" xfId="0" applyNumberFormat="1" applyFont="1" applyAlignment="1" applyProtection="1">
      <alignment vertical="center"/>
    </xf>
    <xf numFmtId="164" fontId="16" fillId="4" borderId="0" xfId="0" applyNumberFormat="1" applyFont="1" applyFill="1" applyAlignment="1" applyProtection="1">
      <alignment horizontal="left" vertical="center"/>
    </xf>
    <xf numFmtId="164" fontId="18" fillId="4" borderId="0" xfId="0" applyNumberFormat="1" applyFont="1" applyFill="1" applyAlignment="1" applyProtection="1">
      <alignment vertical="center"/>
    </xf>
    <xf numFmtId="164" fontId="46" fillId="4" borderId="0" xfId="0" applyNumberFormat="1" applyFont="1" applyFill="1" applyProtection="1"/>
    <xf numFmtId="170" fontId="16" fillId="4" borderId="0" xfId="0" applyNumberFormat="1" applyFont="1" applyFill="1" applyAlignment="1" applyProtection="1">
      <alignment vertical="center"/>
    </xf>
    <xf numFmtId="164" fontId="26" fillId="0" borderId="0" xfId="0" applyNumberFormat="1" applyFont="1" applyFill="1" applyAlignment="1" applyProtection="1">
      <alignment horizontal="left" vertical="center"/>
    </xf>
    <xf numFmtId="166" fontId="19" fillId="4" borderId="4" xfId="0" applyNumberFormat="1" applyFont="1" applyFill="1" applyBorder="1" applyAlignment="1" applyProtection="1">
      <alignment vertical="center"/>
    </xf>
    <xf numFmtId="164" fontId="19" fillId="4" borderId="11" xfId="0" applyNumberFormat="1" applyFont="1" applyFill="1" applyBorder="1" applyAlignment="1" applyProtection="1">
      <alignment horizontal="left" vertical="center"/>
    </xf>
    <xf numFmtId="10" fontId="19" fillId="4" borderId="5" xfId="0" applyNumberFormat="1" applyFont="1" applyFill="1" applyBorder="1" applyAlignment="1" applyProtection="1">
      <alignment horizontal="center" vertical="center"/>
    </xf>
    <xf numFmtId="164" fontId="19" fillId="4" borderId="10" xfId="0" applyNumberFormat="1" applyFont="1" applyFill="1" applyBorder="1" applyAlignment="1" applyProtection="1">
      <alignment horizontal="left" vertical="center"/>
    </xf>
    <xf numFmtId="10" fontId="19" fillId="4" borderId="9" xfId="0" applyNumberFormat="1" applyFont="1" applyFill="1" applyBorder="1" applyAlignment="1" applyProtection="1">
      <alignment horizontal="center" vertical="center"/>
    </xf>
    <xf numFmtId="164" fontId="22" fillId="4" borderId="0" xfId="0" applyNumberFormat="1" applyFont="1" applyFill="1" applyAlignment="1" applyProtection="1">
      <alignment horizontal="left" vertical="center"/>
    </xf>
    <xf numFmtId="9" fontId="22" fillId="0" borderId="0" xfId="0" applyNumberFormat="1" applyFont="1" applyAlignment="1" applyProtection="1">
      <alignment vertical="center"/>
    </xf>
    <xf numFmtId="9" fontId="22" fillId="0" borderId="0" xfId="2" applyFont="1" applyProtection="1"/>
    <xf numFmtId="166" fontId="22" fillId="0" borderId="6" xfId="0" applyNumberFormat="1" applyFont="1" applyBorder="1" applyAlignment="1" applyProtection="1">
      <alignment vertical="center"/>
    </xf>
    <xf numFmtId="166" fontId="22" fillId="0" borderId="22" xfId="0" applyNumberFormat="1" applyFont="1" applyBorder="1" applyAlignment="1" applyProtection="1">
      <alignment vertical="center"/>
    </xf>
    <xf numFmtId="170" fontId="22" fillId="0" borderId="0" xfId="0" applyNumberFormat="1" applyFont="1" applyBorder="1" applyAlignment="1" applyProtection="1">
      <alignment vertical="center"/>
    </xf>
    <xf numFmtId="164" fontId="19" fillId="4" borderId="8" xfId="0" quotePrefix="1" applyNumberFormat="1" applyFont="1" applyFill="1" applyBorder="1" applyAlignment="1" applyProtection="1">
      <alignment horizontal="left" vertical="center"/>
    </xf>
    <xf numFmtId="170" fontId="19" fillId="0" borderId="0" xfId="0" applyNumberFormat="1" applyFont="1" applyAlignment="1" applyProtection="1">
      <alignment vertical="center"/>
    </xf>
    <xf numFmtId="9" fontId="22" fillId="0" borderId="0" xfId="2" applyFont="1" applyAlignment="1" applyProtection="1">
      <alignment horizontal="right" vertical="top"/>
    </xf>
    <xf numFmtId="9" fontId="22" fillId="0" borderId="0" xfId="2" applyFont="1" applyAlignment="1" applyProtection="1">
      <alignment horizontal="left" vertical="center"/>
    </xf>
    <xf numFmtId="9" fontId="22" fillId="0" borderId="0" xfId="2" applyFont="1" applyAlignment="1" applyProtection="1">
      <alignment horizontal="center" vertical="center"/>
    </xf>
    <xf numFmtId="164" fontId="23" fillId="2" borderId="0" xfId="0" applyNumberFormat="1" applyFont="1" applyFill="1" applyAlignment="1" applyProtection="1">
      <alignment horizontal="left" vertical="center"/>
    </xf>
    <xf numFmtId="164" fontId="22" fillId="2" borderId="0" xfId="0" applyNumberFormat="1" applyFont="1" applyFill="1" applyAlignment="1" applyProtection="1">
      <alignment horizontal="left" vertical="center"/>
    </xf>
    <xf numFmtId="166" fontId="22" fillId="0" borderId="6" xfId="0" applyNumberFormat="1" applyFont="1" applyBorder="1" applyAlignment="1" applyProtection="1">
      <alignment horizontal="right" vertical="center"/>
    </xf>
    <xf numFmtId="166" fontId="22" fillId="0" borderId="22" xfId="0" applyNumberFormat="1" applyFont="1" applyBorder="1" applyAlignment="1" applyProtection="1">
      <alignment horizontal="right" vertical="center"/>
    </xf>
    <xf numFmtId="175" fontId="22" fillId="0" borderId="0" xfId="0" applyNumberFormat="1" applyFont="1" applyBorder="1" applyAlignment="1" applyProtection="1">
      <alignment horizontal="right" vertical="center"/>
    </xf>
    <xf numFmtId="166" fontId="19" fillId="4" borderId="2" xfId="0" applyNumberFormat="1" applyFont="1" applyFill="1" applyBorder="1" applyAlignment="1" applyProtection="1">
      <alignment horizontal="right" vertical="center"/>
    </xf>
    <xf numFmtId="164" fontId="19" fillId="0" borderId="0" xfId="0" applyNumberFormat="1" applyFont="1" applyBorder="1" applyAlignment="1" applyProtection="1">
      <alignment horizontal="left" vertical="center"/>
    </xf>
    <xf numFmtId="175" fontId="19" fillId="0" borderId="0" xfId="0" applyNumberFormat="1" applyFont="1" applyBorder="1" applyAlignment="1" applyProtection="1">
      <alignment horizontal="right" vertical="center"/>
    </xf>
    <xf numFmtId="164" fontId="18" fillId="0" borderId="0" xfId="0" applyNumberFormat="1" applyFont="1" applyFill="1" applyAlignment="1" applyProtection="1">
      <alignment horizontal="left" vertical="center"/>
    </xf>
    <xf numFmtId="164" fontId="46" fillId="0" borderId="0" xfId="0" applyNumberFormat="1" applyFont="1" applyFill="1" applyProtection="1"/>
    <xf numFmtId="164" fontId="22" fillId="0" borderId="24" xfId="0" applyNumberFormat="1" applyFont="1" applyBorder="1" applyAlignment="1" applyProtection="1">
      <alignment vertical="center"/>
    </xf>
    <xf numFmtId="164" fontId="22" fillId="0" borderId="25" xfId="0" applyNumberFormat="1" applyFont="1" applyBorder="1" applyAlignment="1" applyProtection="1">
      <alignment vertical="center"/>
    </xf>
    <xf numFmtId="164" fontId="18" fillId="0" borderId="24" xfId="0" applyNumberFormat="1" applyFont="1" applyBorder="1" applyAlignment="1" applyProtection="1">
      <alignment horizontal="left" vertical="center"/>
    </xf>
    <xf numFmtId="164" fontId="46" fillId="0" borderId="25" xfId="0" applyNumberFormat="1" applyFont="1" applyBorder="1" applyProtection="1"/>
    <xf numFmtId="164" fontId="46" fillId="0" borderId="0" xfId="0" applyNumberFormat="1" applyFont="1" applyAlignment="1" applyProtection="1">
      <alignment vertical="center"/>
    </xf>
    <xf numFmtId="166" fontId="22" fillId="0" borderId="24" xfId="0" applyNumberFormat="1" applyFont="1" applyBorder="1" applyAlignment="1" applyProtection="1">
      <alignment horizontal="right" vertical="center"/>
    </xf>
    <xf numFmtId="176" fontId="22" fillId="0" borderId="25" xfId="0" applyNumberFormat="1" applyFont="1" applyBorder="1" applyAlignment="1" applyProtection="1">
      <alignment vertical="center"/>
    </xf>
    <xf numFmtId="164" fontId="18" fillId="0" borderId="24" xfId="0" applyNumberFormat="1" applyFont="1" applyBorder="1" applyAlignment="1" applyProtection="1">
      <alignment vertical="center"/>
    </xf>
    <xf numFmtId="177" fontId="16" fillId="0" borderId="0" xfId="0" applyNumberFormat="1" applyFont="1" applyAlignment="1" applyProtection="1">
      <alignment vertical="center"/>
    </xf>
    <xf numFmtId="166" fontId="16" fillId="0" borderId="24" xfId="0" applyNumberFormat="1" applyFont="1" applyBorder="1" applyAlignment="1" applyProtection="1">
      <alignment horizontal="right" vertical="center"/>
    </xf>
    <xf numFmtId="176" fontId="16" fillId="0" borderId="25" xfId="0" applyNumberFormat="1" applyFont="1" applyBorder="1" applyAlignment="1" applyProtection="1">
      <alignment vertical="center"/>
    </xf>
    <xf numFmtId="164" fontId="22" fillId="0" borderId="25" xfId="0" applyNumberFormat="1" applyFont="1" applyBorder="1" applyProtection="1"/>
    <xf numFmtId="164" fontId="18" fillId="0" borderId="0" xfId="0" quotePrefix="1" applyNumberFormat="1" applyFont="1" applyAlignment="1" applyProtection="1">
      <alignment horizontal="left" vertical="center"/>
    </xf>
    <xf numFmtId="164" fontId="18" fillId="0" borderId="10" xfId="0" applyNumberFormat="1" applyFont="1" applyBorder="1" applyAlignment="1" applyProtection="1">
      <alignment horizontal="left" vertical="center"/>
    </xf>
    <xf numFmtId="164" fontId="46" fillId="0" borderId="10" xfId="0" applyNumberFormat="1" applyFont="1" applyBorder="1" applyAlignment="1" applyProtection="1">
      <alignment vertical="center"/>
    </xf>
    <xf numFmtId="166" fontId="22" fillId="0" borderId="26" xfId="0" applyNumberFormat="1" applyFont="1" applyBorder="1" applyAlignment="1" applyProtection="1">
      <alignment horizontal="right" vertical="center"/>
    </xf>
    <xf numFmtId="164" fontId="22" fillId="0" borderId="27" xfId="0" applyNumberFormat="1" applyFont="1" applyBorder="1" applyProtection="1"/>
    <xf numFmtId="176" fontId="18" fillId="0" borderId="0" xfId="0" applyNumberFormat="1" applyFont="1" applyBorder="1" applyAlignment="1" applyProtection="1">
      <alignment vertical="center"/>
    </xf>
    <xf numFmtId="164" fontId="22" fillId="0" borderId="7" xfId="0" applyNumberFormat="1" applyFont="1" applyBorder="1" applyAlignment="1" applyProtection="1">
      <alignment vertical="center"/>
    </xf>
    <xf numFmtId="164" fontId="16" fillId="0" borderId="0" xfId="0" quotePrefix="1" applyNumberFormat="1" applyFont="1" applyAlignment="1" applyProtection="1">
      <alignment horizontal="left" vertical="center"/>
    </xf>
    <xf numFmtId="166" fontId="19" fillId="0" borderId="24" xfId="0" applyNumberFormat="1" applyFont="1" applyBorder="1" applyAlignment="1" applyProtection="1">
      <alignment horizontal="right" vertical="center"/>
    </xf>
    <xf numFmtId="176" fontId="22" fillId="0" borderId="7" xfId="0" applyNumberFormat="1" applyFont="1" applyBorder="1" applyAlignment="1" applyProtection="1">
      <alignment vertical="center"/>
    </xf>
    <xf numFmtId="176" fontId="22" fillId="0" borderId="0" xfId="0" applyNumberFormat="1" applyFont="1" applyBorder="1" applyAlignment="1" applyProtection="1">
      <alignment vertical="center"/>
    </xf>
    <xf numFmtId="176" fontId="22" fillId="0" borderId="27" xfId="0" applyNumberFormat="1" applyFont="1" applyBorder="1" applyAlignment="1" applyProtection="1">
      <alignment vertical="center"/>
    </xf>
    <xf numFmtId="164" fontId="46" fillId="0" borderId="0" xfId="0" applyNumberFormat="1" applyFont="1" applyBorder="1" applyAlignment="1" applyProtection="1">
      <alignment vertical="center"/>
    </xf>
    <xf numFmtId="176" fontId="19" fillId="0" borderId="25" xfId="0" applyNumberFormat="1" applyFont="1" applyBorder="1" applyAlignment="1" applyProtection="1">
      <alignment vertical="center"/>
    </xf>
    <xf numFmtId="166" fontId="22" fillId="0" borderId="28" xfId="0" applyNumberFormat="1" applyFont="1" applyBorder="1" applyAlignment="1" applyProtection="1">
      <alignment horizontal="right" vertical="center"/>
    </xf>
    <xf numFmtId="164" fontId="22" fillId="0" borderId="29" xfId="0" applyNumberFormat="1" applyFont="1" applyBorder="1" applyProtection="1"/>
    <xf numFmtId="176" fontId="22" fillId="0" borderId="9" xfId="0" applyNumberFormat="1" applyFont="1" applyBorder="1" applyAlignment="1" applyProtection="1">
      <alignment vertical="center"/>
    </xf>
    <xf numFmtId="177" fontId="16" fillId="4" borderId="8" xfId="0" quotePrefix="1" applyNumberFormat="1" applyFont="1" applyFill="1" applyBorder="1" applyAlignment="1" applyProtection="1">
      <alignment horizontal="left" vertical="center"/>
    </xf>
    <xf numFmtId="164" fontId="46" fillId="4" borderId="8" xfId="0" applyNumberFormat="1" applyFont="1" applyFill="1" applyBorder="1" applyAlignment="1" applyProtection="1">
      <alignment vertical="center"/>
    </xf>
    <xf numFmtId="164" fontId="22" fillId="4" borderId="2" xfId="0" applyNumberFormat="1" applyFont="1" applyFill="1" applyBorder="1" applyProtection="1"/>
    <xf numFmtId="166" fontId="19" fillId="0" borderId="28" xfId="0" applyNumberFormat="1" applyFont="1" applyBorder="1" applyAlignment="1" applyProtection="1">
      <alignment horizontal="right" vertical="center"/>
    </xf>
    <xf numFmtId="176" fontId="19" fillId="0" borderId="29" xfId="0" applyNumberFormat="1" applyFont="1" applyBorder="1" applyAlignment="1" applyProtection="1">
      <alignment vertical="center"/>
    </xf>
    <xf numFmtId="166" fontId="22" fillId="0" borderId="0" xfId="0" applyNumberFormat="1" applyFont="1" applyBorder="1" applyAlignment="1" applyProtection="1">
      <alignment horizontal="right" vertical="center"/>
    </xf>
    <xf numFmtId="166" fontId="19" fillId="0" borderId="6" xfId="0" applyNumberFormat="1" applyFont="1" applyBorder="1" applyAlignment="1" applyProtection="1">
      <alignment horizontal="right" vertical="center"/>
    </xf>
    <xf numFmtId="176" fontId="19" fillId="0" borderId="7" xfId="0" applyNumberFormat="1" applyFont="1" applyBorder="1" applyAlignment="1" applyProtection="1">
      <alignment vertical="center"/>
    </xf>
    <xf numFmtId="166" fontId="19" fillId="0" borderId="22" xfId="0" applyNumberFormat="1" applyFont="1" applyBorder="1" applyAlignment="1" applyProtection="1">
      <alignment horizontal="right" vertical="center"/>
    </xf>
    <xf numFmtId="176" fontId="19" fillId="0" borderId="9" xfId="0" applyNumberFormat="1" applyFont="1" applyBorder="1" applyAlignment="1" applyProtection="1">
      <alignment vertical="center"/>
    </xf>
    <xf numFmtId="164" fontId="18" fillId="0" borderId="6" xfId="0" applyNumberFormat="1" applyFont="1" applyBorder="1" applyAlignment="1" applyProtection="1">
      <alignment horizontal="left" vertical="center"/>
    </xf>
    <xf numFmtId="164" fontId="46" fillId="0" borderId="7" xfId="0" applyNumberFormat="1" applyFont="1" applyBorder="1" applyProtection="1"/>
    <xf numFmtId="164" fontId="46" fillId="0" borderId="0" xfId="0" applyNumberFormat="1" applyFont="1" applyBorder="1" applyProtection="1"/>
    <xf numFmtId="166" fontId="16" fillId="0" borderId="6" xfId="0" applyNumberFormat="1" applyFont="1" applyBorder="1" applyAlignment="1" applyProtection="1">
      <alignment horizontal="right" vertical="center"/>
    </xf>
    <xf numFmtId="176" fontId="16" fillId="0" borderId="7" xfId="0" applyNumberFormat="1" applyFont="1" applyBorder="1" applyAlignment="1" applyProtection="1">
      <alignment vertical="center"/>
    </xf>
    <xf numFmtId="176" fontId="16" fillId="0" borderId="0" xfId="0" applyNumberFormat="1" applyFont="1" applyBorder="1" applyAlignment="1" applyProtection="1">
      <alignment vertical="center"/>
    </xf>
    <xf numFmtId="164" fontId="22" fillId="0" borderId="7" xfId="0" applyNumberFormat="1" applyFont="1" applyBorder="1" applyProtection="1"/>
    <xf numFmtId="164" fontId="22" fillId="0" borderId="9" xfId="0" applyNumberFormat="1" applyFont="1" applyBorder="1" applyProtection="1"/>
    <xf numFmtId="176" fontId="19" fillId="0" borderId="0" xfId="0" applyNumberFormat="1" applyFont="1" applyBorder="1" applyAlignment="1" applyProtection="1">
      <alignment vertical="center"/>
    </xf>
    <xf numFmtId="177" fontId="16" fillId="4" borderId="30" xfId="0" quotePrefix="1" applyNumberFormat="1" applyFont="1" applyFill="1" applyBorder="1" applyAlignment="1" applyProtection="1">
      <alignment horizontal="left" vertical="center"/>
    </xf>
    <xf numFmtId="164" fontId="46" fillId="4" borderId="31" xfId="0" applyNumberFormat="1" applyFont="1" applyFill="1" applyBorder="1" applyAlignment="1" applyProtection="1">
      <alignment vertical="center"/>
    </xf>
    <xf numFmtId="166" fontId="19" fillId="4" borderId="32" xfId="0" applyNumberFormat="1" applyFont="1" applyFill="1" applyBorder="1" applyAlignment="1" applyProtection="1">
      <alignment horizontal="right" vertical="center"/>
    </xf>
    <xf numFmtId="164" fontId="22" fillId="4" borderId="32" xfId="0" applyNumberFormat="1" applyFont="1" applyFill="1" applyBorder="1" applyProtection="1"/>
    <xf numFmtId="164" fontId="22" fillId="0" borderId="33" xfId="0" applyNumberFormat="1" applyFont="1" applyBorder="1" applyProtection="1"/>
    <xf numFmtId="164" fontId="22" fillId="4" borderId="31" xfId="0" applyNumberFormat="1" applyFont="1" applyFill="1" applyBorder="1" applyProtection="1"/>
    <xf numFmtId="164" fontId="47" fillId="0" borderId="0" xfId="0" applyNumberFormat="1" applyFont="1" applyAlignment="1" applyProtection="1">
      <alignment vertical="center"/>
    </xf>
    <xf numFmtId="164" fontId="47" fillId="0" borderId="0" xfId="0" applyNumberFormat="1" applyFont="1" applyBorder="1" applyAlignment="1" applyProtection="1">
      <alignment vertical="center"/>
    </xf>
    <xf numFmtId="164" fontId="47" fillId="0" borderId="0" xfId="0" applyNumberFormat="1" applyFont="1" applyProtection="1"/>
    <xf numFmtId="164" fontId="18" fillId="2" borderId="0" xfId="0" applyNumberFormat="1" applyFont="1" applyFill="1" applyAlignment="1" applyProtection="1">
      <alignment vertical="center"/>
    </xf>
    <xf numFmtId="164" fontId="18" fillId="2" borderId="0" xfId="0" applyNumberFormat="1" applyFont="1" applyFill="1" applyBorder="1" applyAlignment="1" applyProtection="1">
      <alignment vertical="center"/>
    </xf>
    <xf numFmtId="164" fontId="18" fillId="2" borderId="0" xfId="0" applyNumberFormat="1" applyFont="1" applyFill="1" applyBorder="1" applyAlignment="1" applyProtection="1">
      <alignment horizontal="left" vertical="center"/>
    </xf>
    <xf numFmtId="164" fontId="52" fillId="5" borderId="0" xfId="0" applyNumberFormat="1" applyFont="1" applyFill="1" applyAlignment="1" applyProtection="1">
      <alignment horizontal="left" vertical="center"/>
    </xf>
    <xf numFmtId="178" fontId="22" fillId="0" borderId="0" xfId="0" applyNumberFormat="1" applyFont="1" applyAlignment="1" applyProtection="1">
      <alignment vertical="center"/>
    </xf>
    <xf numFmtId="164" fontId="22" fillId="0" borderId="10" xfId="0" applyNumberFormat="1" applyFont="1" applyBorder="1" applyAlignment="1" applyProtection="1">
      <alignment vertical="center"/>
      <protection locked="0"/>
    </xf>
    <xf numFmtId="178" fontId="22" fillId="0" borderId="20" xfId="0" applyNumberFormat="1" applyFont="1" applyBorder="1" applyAlignment="1" applyProtection="1">
      <alignment vertical="center"/>
    </xf>
    <xf numFmtId="164" fontId="22" fillId="0" borderId="21" xfId="0" applyNumberFormat="1" applyFont="1" applyBorder="1" applyAlignment="1" applyProtection="1">
      <alignment vertical="center"/>
    </xf>
    <xf numFmtId="178" fontId="22" fillId="0" borderId="21" xfId="0" applyNumberFormat="1" applyFont="1" applyBorder="1" applyAlignment="1" applyProtection="1">
      <alignment vertical="center"/>
    </xf>
    <xf numFmtId="9" fontId="22" fillId="0" borderId="9" xfId="0" applyNumberFormat="1" applyFont="1" applyBorder="1" applyAlignment="1" applyProtection="1">
      <alignment vertical="center"/>
    </xf>
    <xf numFmtId="164" fontId="22" fillId="0" borderId="20" xfId="0" applyNumberFormat="1" applyFont="1" applyBorder="1" applyAlignment="1" applyProtection="1">
      <alignment vertical="center"/>
    </xf>
    <xf numFmtId="178" fontId="19" fillId="0" borderId="0" xfId="0" applyNumberFormat="1" applyFont="1" applyAlignment="1" applyProtection="1">
      <alignment vertical="center"/>
    </xf>
    <xf numFmtId="164" fontId="52" fillId="5" borderId="8" xfId="0" applyNumberFormat="1" applyFont="1" applyFill="1" applyBorder="1" applyAlignment="1" applyProtection="1">
      <alignment horizontal="left" vertical="center"/>
    </xf>
    <xf numFmtId="164" fontId="51" fillId="5" borderId="12" xfId="0" applyNumberFormat="1" applyFont="1" applyFill="1" applyBorder="1" applyAlignment="1" applyProtection="1">
      <alignment vertical="center"/>
    </xf>
    <xf numFmtId="164" fontId="51" fillId="5" borderId="12" xfId="0" applyNumberFormat="1" applyFont="1" applyFill="1" applyBorder="1" applyAlignment="1" applyProtection="1">
      <alignment horizontal="left" vertical="center"/>
    </xf>
    <xf numFmtId="164" fontId="22" fillId="4" borderId="3" xfId="0" applyNumberFormat="1" applyFont="1" applyFill="1" applyBorder="1" applyAlignment="1" applyProtection="1">
      <alignment horizontal="left" vertical="center"/>
    </xf>
    <xf numFmtId="164" fontId="22" fillId="4" borderId="3" xfId="0" applyNumberFormat="1" applyFont="1" applyFill="1" applyBorder="1" applyAlignment="1" applyProtection="1">
      <alignment vertical="center"/>
    </xf>
    <xf numFmtId="164" fontId="22" fillId="4" borderId="3" xfId="0" applyNumberFormat="1" applyFont="1" applyFill="1" applyBorder="1" applyAlignment="1" applyProtection="1">
      <alignment horizontal="right" vertical="center"/>
    </xf>
    <xf numFmtId="164" fontId="22" fillId="4" borderId="20" xfId="0" applyNumberFormat="1" applyFont="1" applyFill="1" applyBorder="1" applyAlignment="1" applyProtection="1">
      <alignment vertical="center"/>
    </xf>
    <xf numFmtId="164" fontId="22" fillId="4" borderId="20" xfId="0" applyNumberFormat="1" applyFont="1" applyFill="1" applyBorder="1" applyAlignment="1" applyProtection="1">
      <alignment horizontal="left" vertical="center"/>
    </xf>
    <xf numFmtId="164" fontId="27" fillId="0" borderId="1" xfId="0" applyNumberFormat="1" applyFont="1" applyBorder="1" applyAlignment="1" applyProtection="1">
      <alignment vertical="center"/>
    </xf>
    <xf numFmtId="3" fontId="22" fillId="0" borderId="1" xfId="0" applyNumberFormat="1" applyFont="1" applyBorder="1" applyAlignment="1" applyProtection="1">
      <alignment vertical="center"/>
      <protection locked="0"/>
    </xf>
    <xf numFmtId="3" fontId="22" fillId="0" borderId="1" xfId="0" applyNumberFormat="1" applyFont="1" applyBorder="1" applyAlignment="1" applyProtection="1">
      <alignment vertical="center"/>
    </xf>
    <xf numFmtId="164" fontId="22" fillId="0" borderId="1" xfId="0" applyNumberFormat="1" applyFont="1" applyBorder="1" applyAlignment="1" applyProtection="1">
      <alignment horizontal="left" vertical="center"/>
    </xf>
    <xf numFmtId="164" fontId="22" fillId="0" borderId="1" xfId="0" applyNumberFormat="1" applyFont="1" applyBorder="1" applyAlignment="1" applyProtection="1">
      <alignment vertical="center"/>
    </xf>
    <xf numFmtId="176" fontId="19" fillId="0" borderId="0" xfId="0" applyNumberFormat="1" applyFont="1" applyAlignment="1" applyProtection="1">
      <alignment vertical="center"/>
    </xf>
    <xf numFmtId="164" fontId="16" fillId="7" borderId="1" xfId="0" applyNumberFormat="1" applyFont="1" applyFill="1" applyBorder="1" applyAlignment="1" applyProtection="1">
      <alignment horizontal="center" vertical="center"/>
    </xf>
    <xf numFmtId="164" fontId="16" fillId="7" borderId="1" xfId="0" quotePrefix="1" applyNumberFormat="1" applyFont="1" applyFill="1" applyBorder="1" applyAlignment="1" applyProtection="1">
      <alignment horizontal="center" vertical="center"/>
    </xf>
    <xf numFmtId="164" fontId="16" fillId="0" borderId="0" xfId="0" applyNumberFormat="1" applyFont="1" applyBorder="1" applyAlignment="1" applyProtection="1">
      <alignment vertical="center"/>
    </xf>
    <xf numFmtId="164" fontId="16" fillId="0" borderId="4" xfId="0" applyNumberFormat="1" applyFont="1" applyBorder="1" applyAlignment="1" applyProtection="1">
      <alignment vertical="center"/>
    </xf>
    <xf numFmtId="164" fontId="18" fillId="0" borderId="4" xfId="0" applyNumberFormat="1" applyFont="1" applyBorder="1" applyAlignment="1" applyProtection="1">
      <alignment vertical="center"/>
    </xf>
    <xf numFmtId="164" fontId="18" fillId="0" borderId="11" xfId="0" applyNumberFormat="1" applyFont="1" applyBorder="1" applyAlignment="1" applyProtection="1">
      <alignment vertical="center"/>
    </xf>
    <xf numFmtId="164" fontId="18" fillId="0" borderId="5" xfId="0" applyNumberFormat="1" applyFont="1" applyBorder="1" applyAlignment="1" applyProtection="1">
      <alignment vertical="center"/>
    </xf>
    <xf numFmtId="166" fontId="18" fillId="0" borderId="3" xfId="0" applyNumberFormat="1" applyFont="1" applyBorder="1" applyAlignment="1" applyProtection="1">
      <alignment vertical="center"/>
    </xf>
    <xf numFmtId="166" fontId="22" fillId="0" borderId="3" xfId="0" applyNumberFormat="1" applyFont="1" applyBorder="1" applyAlignment="1" applyProtection="1">
      <alignment vertical="center"/>
    </xf>
    <xf numFmtId="166" fontId="16" fillId="0" borderId="3" xfId="0" applyNumberFormat="1" applyFont="1" applyBorder="1" applyAlignment="1" applyProtection="1">
      <alignment vertical="center"/>
    </xf>
    <xf numFmtId="164" fontId="18" fillId="0" borderId="9" xfId="0" applyNumberFormat="1" applyFont="1" applyBorder="1" applyAlignment="1" applyProtection="1">
      <alignment vertical="center"/>
    </xf>
    <xf numFmtId="166" fontId="18" fillId="0" borderId="20" xfId="0" applyNumberFormat="1" applyFont="1" applyBorder="1" applyAlignment="1" applyProtection="1">
      <alignment vertical="center"/>
    </xf>
    <xf numFmtId="166" fontId="22" fillId="0" borderId="20" xfId="0" applyNumberFormat="1" applyFont="1" applyBorder="1" applyAlignment="1" applyProtection="1">
      <alignment vertical="center"/>
    </xf>
    <xf numFmtId="166" fontId="16" fillId="0" borderId="20" xfId="0" applyNumberFormat="1" applyFont="1" applyBorder="1" applyAlignment="1" applyProtection="1">
      <alignment vertical="center"/>
    </xf>
    <xf numFmtId="166" fontId="18" fillId="0" borderId="21" xfId="0" applyNumberFormat="1" applyFont="1" applyBorder="1" applyAlignment="1" applyProtection="1">
      <alignment vertical="center"/>
    </xf>
    <xf numFmtId="166" fontId="16" fillId="0" borderId="6" xfId="0" applyNumberFormat="1" applyFont="1" applyBorder="1" applyAlignment="1" applyProtection="1">
      <alignment vertical="center"/>
    </xf>
    <xf numFmtId="164" fontId="16" fillId="0" borderId="22" xfId="0" applyNumberFormat="1" applyFont="1" applyBorder="1" applyAlignment="1" applyProtection="1">
      <alignment vertical="center"/>
    </xf>
    <xf numFmtId="164" fontId="22" fillId="4" borderId="23" xfId="0" applyNumberFormat="1" applyFont="1" applyFill="1" applyBorder="1" applyAlignment="1" applyProtection="1">
      <alignment horizontal="left" vertical="center"/>
    </xf>
    <xf numFmtId="164" fontId="22" fillId="4" borderId="32" xfId="0" applyNumberFormat="1" applyFont="1" applyFill="1" applyBorder="1" applyAlignment="1" applyProtection="1">
      <alignment vertical="center"/>
    </xf>
    <xf numFmtId="166" fontId="19" fillId="4" borderId="32" xfId="0" applyNumberFormat="1" applyFont="1" applyFill="1" applyBorder="1" applyAlignment="1" applyProtection="1">
      <alignment vertical="center"/>
    </xf>
    <xf numFmtId="164" fontId="22" fillId="4" borderId="32" xfId="0" applyNumberFormat="1" applyFont="1" applyFill="1" applyBorder="1" applyAlignment="1" applyProtection="1">
      <alignment horizontal="center" vertical="center"/>
    </xf>
    <xf numFmtId="164" fontId="22" fillId="4" borderId="31" xfId="0" applyNumberFormat="1" applyFont="1" applyFill="1" applyBorder="1" applyAlignment="1" applyProtection="1">
      <alignment horizontal="centerContinuous" vertical="center"/>
    </xf>
    <xf numFmtId="164" fontId="22" fillId="0" borderId="34" xfId="0" applyNumberFormat="1" applyFont="1" applyBorder="1" applyAlignment="1" applyProtection="1">
      <alignment horizontal="left" vertical="center"/>
    </xf>
    <xf numFmtId="164" fontId="22" fillId="0" borderId="34" xfId="0" applyNumberFormat="1" applyFont="1" applyBorder="1" applyAlignment="1" applyProtection="1">
      <alignment vertical="center"/>
    </xf>
    <xf numFmtId="166" fontId="22" fillId="0" borderId="34" xfId="0" applyNumberFormat="1" applyFont="1" applyBorder="1" applyAlignment="1" applyProtection="1">
      <alignment vertical="center"/>
    </xf>
    <xf numFmtId="164" fontId="22" fillId="4" borderId="30" xfId="0" applyNumberFormat="1" applyFont="1" applyFill="1" applyBorder="1" applyAlignment="1" applyProtection="1">
      <alignment vertical="center"/>
    </xf>
    <xf numFmtId="164" fontId="22" fillId="4" borderId="32" xfId="0" applyNumberFormat="1" applyFont="1" applyFill="1" applyBorder="1" applyAlignment="1" applyProtection="1">
      <alignment horizontal="left" vertical="center"/>
    </xf>
    <xf numFmtId="164" fontId="22" fillId="4" borderId="31" xfId="0" applyNumberFormat="1" applyFont="1" applyFill="1" applyBorder="1" applyAlignment="1" applyProtection="1">
      <alignment horizontal="right" vertical="center"/>
    </xf>
    <xf numFmtId="166" fontId="22" fillId="0" borderId="0" xfId="0" applyNumberFormat="1" applyFont="1" applyBorder="1" applyAlignment="1" applyProtection="1">
      <alignment vertical="center"/>
    </xf>
    <xf numFmtId="179" fontId="22" fillId="2" borderId="0" xfId="3" applyNumberFormat="1" applyFont="1" applyFill="1" applyBorder="1" applyProtection="1"/>
    <xf numFmtId="180" fontId="18" fillId="2" borderId="0" xfId="3" applyNumberFormat="1" applyFont="1" applyFill="1" applyBorder="1" applyProtection="1"/>
    <xf numFmtId="179" fontId="19" fillId="2" borderId="0" xfId="3" applyNumberFormat="1" applyFont="1" applyFill="1" applyBorder="1" applyProtection="1"/>
    <xf numFmtId="179" fontId="22" fillId="0" borderId="0" xfId="3" applyNumberFormat="1" applyFont="1" applyBorder="1" applyProtection="1"/>
    <xf numFmtId="180" fontId="18" fillId="0" borderId="0" xfId="3" applyNumberFormat="1" applyFont="1" applyBorder="1" applyProtection="1"/>
    <xf numFmtId="179" fontId="52" fillId="8" borderId="8" xfId="3" applyNumberFormat="1" applyFont="1" applyFill="1" applyBorder="1" applyAlignment="1" applyProtection="1">
      <alignment horizontal="right" vertical="center"/>
    </xf>
    <xf numFmtId="179" fontId="52" fillId="8" borderId="12" xfId="3" applyNumberFormat="1" applyFont="1" applyFill="1" applyBorder="1" applyAlignment="1" applyProtection="1">
      <alignment horizontal="right" vertical="center"/>
    </xf>
    <xf numFmtId="179" fontId="52" fillId="8" borderId="2" xfId="3" applyNumberFormat="1" applyFont="1" applyFill="1" applyBorder="1" applyAlignment="1" applyProtection="1">
      <alignment horizontal="right" vertical="center"/>
    </xf>
    <xf numFmtId="179" fontId="19" fillId="0" borderId="6" xfId="3" applyNumberFormat="1" applyFont="1" applyFill="1" applyBorder="1" applyAlignment="1" applyProtection="1">
      <alignment horizontal="center"/>
    </xf>
    <xf numFmtId="179" fontId="19" fillId="0" borderId="0" xfId="3" applyNumberFormat="1" applyFont="1" applyFill="1" applyBorder="1" applyAlignment="1" applyProtection="1">
      <alignment horizontal="center"/>
    </xf>
    <xf numFmtId="179" fontId="19" fillId="0" borderId="7" xfId="3" applyNumberFormat="1" applyFont="1" applyFill="1" applyBorder="1" applyAlignment="1" applyProtection="1">
      <alignment horizontal="center"/>
    </xf>
    <xf numFmtId="180" fontId="19" fillId="0" borderId="13" xfId="3" applyNumberFormat="1" applyFont="1" applyFill="1" applyBorder="1" applyAlignment="1" applyProtection="1">
      <alignment horizontal="center"/>
    </xf>
    <xf numFmtId="179" fontId="19" fillId="9" borderId="8" xfId="3" applyNumberFormat="1" applyFont="1" applyFill="1" applyBorder="1" applyAlignment="1" applyProtection="1">
      <alignment horizontal="right" vertical="center"/>
    </xf>
    <xf numFmtId="179" fontId="19" fillId="9" borderId="12" xfId="3" applyNumberFormat="1" applyFont="1" applyFill="1" applyBorder="1" applyAlignment="1" applyProtection="1">
      <alignment horizontal="left" vertical="center"/>
    </xf>
    <xf numFmtId="179" fontId="28" fillId="9" borderId="12" xfId="3" applyNumberFormat="1" applyFont="1" applyFill="1" applyBorder="1" applyAlignment="1" applyProtection="1">
      <alignment horizontal="center" vertical="center"/>
    </xf>
    <xf numFmtId="180" fontId="28" fillId="9" borderId="8" xfId="3" applyNumberFormat="1" applyFont="1" applyFill="1" applyBorder="1" applyAlignment="1" applyProtection="1">
      <alignment horizontal="right" vertical="center"/>
    </xf>
    <xf numFmtId="179" fontId="19" fillId="9" borderId="12" xfId="3" applyNumberFormat="1" applyFont="1" applyFill="1" applyBorder="1" applyAlignment="1" applyProtection="1">
      <alignment vertical="center"/>
    </xf>
    <xf numFmtId="180" fontId="19" fillId="9" borderId="12" xfId="3" applyNumberFormat="1" applyFont="1" applyFill="1" applyBorder="1" applyAlignment="1" applyProtection="1">
      <alignment vertical="center"/>
    </xf>
    <xf numFmtId="179" fontId="19" fillId="9" borderId="2" xfId="3" applyNumberFormat="1" applyFont="1" applyFill="1" applyBorder="1" applyAlignment="1" applyProtection="1">
      <alignment vertical="center"/>
    </xf>
    <xf numFmtId="179" fontId="22" fillId="0" borderId="6" xfId="3" applyNumberFormat="1" applyFont="1" applyFill="1" applyBorder="1" applyAlignment="1" applyProtection="1"/>
    <xf numFmtId="179" fontId="22" fillId="0" borderId="11" xfId="3" applyNumberFormat="1" applyFont="1" applyFill="1" applyBorder="1" applyAlignment="1" applyProtection="1"/>
    <xf numFmtId="179" fontId="22" fillId="0" borderId="11" xfId="3" applyNumberFormat="1" applyFont="1" applyFill="1" applyBorder="1" applyAlignment="1" applyProtection="1">
      <alignment horizontal="center"/>
    </xf>
    <xf numFmtId="180" fontId="22" fillId="0" borderId="3" xfId="3" applyNumberFormat="1" applyFont="1" applyFill="1" applyBorder="1" applyAlignment="1" applyProtection="1"/>
    <xf numFmtId="180" fontId="22" fillId="0" borderId="35" xfId="3" applyNumberFormat="1" applyFont="1" applyFill="1" applyBorder="1" applyAlignment="1" applyProtection="1"/>
    <xf numFmtId="179" fontId="22" fillId="3" borderId="6" xfId="3" applyNumberFormat="1" applyFont="1" applyFill="1" applyBorder="1" applyAlignment="1" applyProtection="1"/>
    <xf numFmtId="179" fontId="22" fillId="3" borderId="0" xfId="3" applyNumberFormat="1" applyFont="1" applyFill="1" applyBorder="1" applyAlignment="1" applyProtection="1"/>
    <xf numFmtId="179" fontId="22" fillId="3" borderId="0" xfId="3" applyNumberFormat="1" applyFont="1" applyFill="1" applyBorder="1" applyAlignment="1" applyProtection="1">
      <alignment horizontal="center"/>
    </xf>
    <xf numFmtId="180" fontId="22" fillId="0" borderId="21" xfId="3" applyNumberFormat="1" applyFont="1" applyFill="1" applyBorder="1" applyAlignment="1" applyProtection="1"/>
    <xf numFmtId="180" fontId="22" fillId="3" borderId="21" xfId="3" applyNumberFormat="1" applyFont="1" applyFill="1" applyBorder="1" applyAlignment="1" applyProtection="1"/>
    <xf numFmtId="180" fontId="22" fillId="3" borderId="36" xfId="3" applyNumberFormat="1" applyFont="1" applyFill="1" applyBorder="1" applyAlignment="1" applyProtection="1"/>
    <xf numFmtId="179" fontId="19" fillId="3" borderId="8" xfId="3" applyNumberFormat="1" applyFont="1" applyFill="1" applyBorder="1" applyAlignment="1" applyProtection="1"/>
    <xf numFmtId="179" fontId="19" fillId="3" borderId="12" xfId="3" applyNumberFormat="1" applyFont="1" applyFill="1" applyBorder="1" applyAlignment="1" applyProtection="1"/>
    <xf numFmtId="179" fontId="19" fillId="3" borderId="12" xfId="3" applyNumberFormat="1" applyFont="1" applyFill="1" applyBorder="1" applyAlignment="1" applyProtection="1">
      <alignment horizontal="center"/>
    </xf>
    <xf numFmtId="180" fontId="19" fillId="3" borderId="1" xfId="3" applyNumberFormat="1" applyFont="1" applyFill="1" applyBorder="1" applyAlignment="1" applyProtection="1"/>
    <xf numFmtId="179" fontId="19" fillId="3" borderId="2" xfId="3" applyNumberFormat="1" applyFont="1" applyFill="1" applyBorder="1" applyAlignment="1" applyProtection="1"/>
    <xf numFmtId="179" fontId="19" fillId="9" borderId="2" xfId="3" applyNumberFormat="1" applyFont="1" applyFill="1" applyBorder="1" applyAlignment="1" applyProtection="1">
      <alignment horizontal="center" vertical="center"/>
    </xf>
    <xf numFmtId="180" fontId="19" fillId="9" borderId="12" xfId="3" applyNumberFormat="1" applyFont="1" applyFill="1" applyBorder="1" applyAlignment="1" applyProtection="1">
      <alignment horizontal="right" vertical="center"/>
    </xf>
    <xf numFmtId="179" fontId="19" fillId="9" borderId="12" xfId="3" applyNumberFormat="1" applyFont="1" applyFill="1" applyBorder="1" applyAlignment="1" applyProtection="1">
      <alignment horizontal="right" vertical="center"/>
    </xf>
    <xf numFmtId="180" fontId="19" fillId="9" borderId="17" xfId="3" applyNumberFormat="1" applyFont="1" applyFill="1" applyBorder="1" applyAlignment="1" applyProtection="1">
      <alignment horizontal="right" vertical="center"/>
    </xf>
    <xf numFmtId="179" fontId="22" fillId="0" borderId="0" xfId="3" applyNumberFormat="1" applyFont="1" applyFill="1" applyBorder="1" applyAlignment="1" applyProtection="1"/>
    <xf numFmtId="179" fontId="22" fillId="0" borderId="5" xfId="3" applyNumberFormat="1" applyFont="1" applyFill="1" applyBorder="1" applyAlignment="1" applyProtection="1">
      <alignment horizontal="center"/>
    </xf>
    <xf numFmtId="180" fontId="22" fillId="0" borderId="5" xfId="3" applyNumberFormat="1" applyFont="1" applyFill="1" applyBorder="1" applyAlignment="1" applyProtection="1"/>
    <xf numFmtId="179" fontId="22" fillId="0" borderId="7" xfId="3" applyNumberFormat="1" applyFont="1" applyFill="1" applyBorder="1" applyAlignment="1" applyProtection="1">
      <alignment horizontal="center"/>
    </xf>
    <xf numFmtId="180" fontId="22" fillId="0" borderId="7" xfId="3" applyNumberFormat="1" applyFont="1" applyFill="1" applyBorder="1" applyAlignment="1" applyProtection="1"/>
    <xf numFmtId="179" fontId="22" fillId="3" borderId="7" xfId="3" applyNumberFormat="1" applyFont="1" applyFill="1" applyBorder="1" applyAlignment="1" applyProtection="1">
      <alignment horizontal="center"/>
    </xf>
    <xf numFmtId="180" fontId="22" fillId="3" borderId="7" xfId="3" applyNumberFormat="1" applyFont="1" applyFill="1" applyBorder="1" applyAlignment="1" applyProtection="1"/>
    <xf numFmtId="179" fontId="19" fillId="3" borderId="2" xfId="3" applyNumberFormat="1" applyFont="1" applyFill="1" applyBorder="1" applyAlignment="1" applyProtection="1">
      <alignment horizontal="center"/>
    </xf>
    <xf numFmtId="179" fontId="19" fillId="3" borderId="1" xfId="3" applyNumberFormat="1" applyFont="1" applyFill="1" applyBorder="1" applyAlignment="1" applyProtection="1"/>
    <xf numFmtId="180" fontId="19" fillId="3" borderId="2" xfId="3" applyNumberFormat="1" applyFont="1" applyFill="1" applyBorder="1" applyAlignment="1" applyProtection="1"/>
    <xf numFmtId="179" fontId="19" fillId="0" borderId="8" xfId="3" applyNumberFormat="1" applyFont="1" applyFill="1" applyBorder="1" applyAlignment="1" applyProtection="1">
      <alignment vertical="center"/>
    </xf>
    <xf numFmtId="179" fontId="19" fillId="0" borderId="12" xfId="3" applyNumberFormat="1" applyFont="1" applyFill="1" applyBorder="1" applyAlignment="1" applyProtection="1">
      <alignment vertical="center"/>
    </xf>
    <xf numFmtId="179" fontId="22" fillId="0" borderId="2" xfId="3" applyNumberFormat="1" applyFont="1" applyFill="1" applyBorder="1" applyAlignment="1" applyProtection="1">
      <alignment horizontal="center" vertical="center"/>
    </xf>
    <xf numFmtId="180" fontId="19" fillId="0" borderId="1" xfId="3" applyNumberFormat="1" applyFont="1" applyFill="1" applyBorder="1" applyAlignment="1" applyProtection="1">
      <alignment vertical="center"/>
    </xf>
    <xf numFmtId="179" fontId="19" fillId="0" borderId="1" xfId="3" applyNumberFormat="1" applyFont="1" applyFill="1" applyBorder="1" applyAlignment="1" applyProtection="1">
      <alignment vertical="center"/>
    </xf>
    <xf numFmtId="180" fontId="19" fillId="0" borderId="2" xfId="3" applyNumberFormat="1" applyFont="1" applyFill="1" applyBorder="1" applyAlignment="1" applyProtection="1">
      <alignment vertical="center"/>
    </xf>
    <xf numFmtId="179" fontId="19" fillId="0" borderId="17" xfId="3" applyNumberFormat="1" applyFont="1" applyFill="1" applyBorder="1" applyAlignment="1" applyProtection="1">
      <alignment vertical="center"/>
    </xf>
    <xf numFmtId="179" fontId="19" fillId="0" borderId="2" xfId="3" applyNumberFormat="1" applyFont="1" applyFill="1" applyBorder="1" applyAlignment="1" applyProtection="1">
      <alignment vertical="center"/>
    </xf>
    <xf numFmtId="179" fontId="19" fillId="4" borderId="6" xfId="3" applyNumberFormat="1" applyFont="1" applyFill="1" applyBorder="1" applyAlignment="1" applyProtection="1">
      <alignment vertical="center"/>
    </xf>
    <xf numFmtId="179" fontId="19" fillId="4" borderId="0" xfId="3" applyNumberFormat="1" applyFont="1" applyFill="1" applyBorder="1" applyAlignment="1" applyProtection="1">
      <alignment vertical="center"/>
    </xf>
    <xf numFmtId="179" fontId="19" fillId="4" borderId="0" xfId="3" applyNumberFormat="1" applyFont="1" applyFill="1" applyBorder="1" applyAlignment="1" applyProtection="1">
      <alignment horizontal="center" vertical="center"/>
    </xf>
    <xf numFmtId="180" fontId="19" fillId="4" borderId="12" xfId="3" applyNumberFormat="1" applyFont="1" applyFill="1" applyBorder="1" applyAlignment="1" applyProtection="1">
      <alignment vertical="center"/>
    </xf>
    <xf numFmtId="179" fontId="19" fillId="4" borderId="12" xfId="3" applyNumberFormat="1" applyFont="1" applyFill="1" applyBorder="1" applyAlignment="1" applyProtection="1">
      <alignment vertical="center"/>
    </xf>
    <xf numFmtId="179" fontId="19" fillId="2" borderId="4" xfId="3" applyNumberFormat="1" applyFont="1" applyFill="1" applyBorder="1" applyAlignment="1" applyProtection="1">
      <alignment vertical="center"/>
    </xf>
    <xf numFmtId="179" fontId="22" fillId="2" borderId="11" xfId="3" applyNumberFormat="1" applyFont="1" applyFill="1" applyBorder="1" applyAlignment="1" applyProtection="1">
      <alignment vertical="center"/>
    </xf>
    <xf numFmtId="179" fontId="22" fillId="2" borderId="11" xfId="3" applyNumberFormat="1" applyFont="1" applyFill="1" applyBorder="1" applyAlignment="1" applyProtection="1">
      <alignment horizontal="center" vertical="center"/>
    </xf>
    <xf numFmtId="179" fontId="19" fillId="2" borderId="6" xfId="3" applyNumberFormat="1" applyFont="1" applyFill="1" applyBorder="1" applyAlignment="1" applyProtection="1">
      <alignment vertical="center"/>
    </xf>
    <xf numFmtId="179" fontId="22" fillId="2" borderId="0" xfId="3" applyNumberFormat="1" applyFont="1" applyFill="1" applyBorder="1" applyAlignment="1" applyProtection="1">
      <alignment vertical="center"/>
    </xf>
    <xf numFmtId="179" fontId="22" fillId="2" borderId="0" xfId="3" applyNumberFormat="1" applyFont="1" applyFill="1" applyBorder="1" applyAlignment="1" applyProtection="1">
      <alignment horizontal="center" vertical="center"/>
    </xf>
    <xf numFmtId="180" fontId="22" fillId="0" borderId="13" xfId="3" applyNumberFormat="1" applyFont="1" applyFill="1" applyBorder="1" applyAlignment="1" applyProtection="1">
      <alignment vertical="center"/>
    </xf>
    <xf numFmtId="179" fontId="19" fillId="0" borderId="6" xfId="3" applyNumberFormat="1" applyFont="1" applyFill="1" applyBorder="1" applyAlignment="1" applyProtection="1">
      <alignment vertical="center"/>
    </xf>
    <xf numFmtId="179" fontId="22" fillId="0" borderId="0" xfId="3" applyNumberFormat="1" applyFont="1" applyFill="1" applyBorder="1" applyAlignment="1" applyProtection="1">
      <alignment vertical="center"/>
    </xf>
    <xf numFmtId="179" fontId="22" fillId="0" borderId="0" xfId="3" applyNumberFormat="1" applyFont="1" applyFill="1" applyBorder="1" applyAlignment="1" applyProtection="1">
      <alignment horizontal="center" vertical="center"/>
    </xf>
    <xf numFmtId="179" fontId="19" fillId="4" borderId="8" xfId="3" applyNumberFormat="1" applyFont="1" applyFill="1" applyBorder="1" applyAlignment="1" applyProtection="1">
      <alignment vertical="center"/>
    </xf>
    <xf numFmtId="179" fontId="19" fillId="4" borderId="12" xfId="3" applyNumberFormat="1" applyFont="1" applyFill="1" applyBorder="1" applyAlignment="1" applyProtection="1">
      <alignment horizontal="center" vertical="center"/>
    </xf>
    <xf numFmtId="180" fontId="19" fillId="4" borderId="8" xfId="3" applyNumberFormat="1" applyFont="1" applyFill="1" applyBorder="1" applyAlignment="1" applyProtection="1">
      <alignment vertical="center"/>
    </xf>
    <xf numFmtId="179" fontId="19" fillId="4" borderId="2" xfId="3" applyNumberFormat="1" applyFont="1" applyFill="1" applyBorder="1" applyAlignment="1" applyProtection="1">
      <alignment vertical="center"/>
    </xf>
    <xf numFmtId="179" fontId="22" fillId="2" borderId="4" xfId="3" applyNumberFormat="1" applyFont="1" applyFill="1" applyBorder="1" applyAlignment="1" applyProtection="1">
      <alignment vertical="center"/>
    </xf>
    <xf numFmtId="180" fontId="22" fillId="2" borderId="14" xfId="3" applyNumberFormat="1" applyFont="1" applyFill="1" applyBorder="1" applyAlignment="1" applyProtection="1">
      <alignment vertical="center"/>
    </xf>
    <xf numFmtId="179" fontId="22" fillId="2" borderId="37" xfId="3" applyNumberFormat="1" applyFont="1" applyFill="1" applyBorder="1" applyAlignment="1" applyProtection="1">
      <alignment vertical="center"/>
    </xf>
    <xf numFmtId="179" fontId="22" fillId="2" borderId="38" xfId="3" applyNumberFormat="1" applyFont="1" applyFill="1" applyBorder="1" applyAlignment="1" applyProtection="1">
      <alignment vertical="center"/>
    </xf>
    <xf numFmtId="179" fontId="22" fillId="2" borderId="6" xfId="3" applyNumberFormat="1" applyFont="1" applyFill="1" applyBorder="1" applyAlignment="1" applyProtection="1">
      <alignment vertical="center"/>
    </xf>
    <xf numFmtId="180" fontId="22" fillId="2" borderId="13" xfId="3" applyNumberFormat="1" applyFont="1" applyFill="1" applyBorder="1" applyAlignment="1" applyProtection="1">
      <alignment vertical="center"/>
    </xf>
    <xf numFmtId="179" fontId="22" fillId="2" borderId="7" xfId="3" applyNumberFormat="1" applyFont="1" applyFill="1" applyBorder="1" applyAlignment="1" applyProtection="1">
      <alignment vertical="center"/>
    </xf>
    <xf numFmtId="179" fontId="16" fillId="2" borderId="22" xfId="3" applyNumberFormat="1" applyFont="1" applyFill="1" applyBorder="1" applyAlignment="1" applyProtection="1">
      <alignment vertical="center"/>
    </xf>
    <xf numFmtId="179" fontId="18" fillId="2" borderId="10" xfId="3" applyNumberFormat="1" applyFont="1" applyFill="1" applyBorder="1" applyAlignment="1" applyProtection="1">
      <alignment vertical="center"/>
    </xf>
    <xf numFmtId="179" fontId="18" fillId="2" borderId="10" xfId="3" applyNumberFormat="1" applyFont="1" applyFill="1" applyBorder="1" applyAlignment="1" applyProtection="1">
      <alignment horizontal="center" vertical="center"/>
    </xf>
    <xf numFmtId="180" fontId="18" fillId="2" borderId="39" xfId="3" applyNumberFormat="1" applyFont="1" applyFill="1" applyBorder="1" applyAlignment="1" applyProtection="1">
      <alignment vertical="center"/>
    </xf>
    <xf numFmtId="179" fontId="18" fillId="2" borderId="9" xfId="3" applyNumberFormat="1" applyFont="1" applyFill="1" applyBorder="1" applyAlignment="1" applyProtection="1">
      <alignment vertical="center"/>
    </xf>
    <xf numFmtId="179" fontId="22" fillId="0" borderId="0" xfId="3" applyNumberFormat="1" applyFont="1" applyFill="1" applyProtection="1"/>
    <xf numFmtId="180" fontId="18" fillId="0" borderId="0" xfId="3" applyNumberFormat="1" applyFont="1" applyFill="1" applyProtection="1"/>
    <xf numFmtId="179" fontId="22" fillId="0" borderId="0" xfId="3" applyNumberFormat="1" applyFont="1" applyProtection="1"/>
    <xf numFmtId="180" fontId="18" fillId="0" borderId="0" xfId="3" applyNumberFormat="1" applyFont="1" applyProtection="1"/>
    <xf numFmtId="179" fontId="52" fillId="5" borderId="8" xfId="3" applyNumberFormat="1" applyFont="1" applyFill="1" applyBorder="1" applyAlignment="1" applyProtection="1">
      <alignment horizontal="right" vertical="center"/>
    </xf>
    <xf numFmtId="179" fontId="52" fillId="5" borderId="12" xfId="3" applyNumberFormat="1" applyFont="1" applyFill="1" applyBorder="1" applyAlignment="1" applyProtection="1">
      <alignment horizontal="right" vertical="center"/>
    </xf>
    <xf numFmtId="179" fontId="52" fillId="5" borderId="2" xfId="3" applyNumberFormat="1" applyFont="1" applyFill="1" applyBorder="1" applyAlignment="1" applyProtection="1">
      <alignment horizontal="right" vertical="center"/>
    </xf>
    <xf numFmtId="179" fontId="16" fillId="3" borderId="6" xfId="3" applyNumberFormat="1" applyFont="1" applyFill="1" applyBorder="1" applyAlignment="1" applyProtection="1">
      <alignment horizontal="center"/>
    </xf>
    <xf numFmtId="179" fontId="16" fillId="3" borderId="0" xfId="3" applyNumberFormat="1" applyFont="1" applyFill="1" applyBorder="1" applyAlignment="1" applyProtection="1">
      <alignment horizontal="center"/>
    </xf>
    <xf numFmtId="179" fontId="16" fillId="3" borderId="7" xfId="3" applyNumberFormat="1" applyFont="1" applyFill="1" applyBorder="1" applyAlignment="1" applyProtection="1">
      <alignment horizontal="center"/>
    </xf>
    <xf numFmtId="180" fontId="16" fillId="3" borderId="13" xfId="3" applyNumberFormat="1" applyFont="1" applyFill="1" applyBorder="1" applyAlignment="1" applyProtection="1">
      <alignment horizontal="center"/>
    </xf>
    <xf numFmtId="179" fontId="16" fillId="4" borderId="8" xfId="3" applyNumberFormat="1" applyFont="1" applyFill="1" applyBorder="1" applyAlignment="1" applyProtection="1">
      <alignment horizontal="right" vertical="center"/>
    </xf>
    <xf numFmtId="179" fontId="16" fillId="4" borderId="12" xfId="3" applyNumberFormat="1" applyFont="1" applyFill="1" applyBorder="1" applyAlignment="1" applyProtection="1">
      <alignment horizontal="left" vertical="center"/>
    </xf>
    <xf numFmtId="179" fontId="29" fillId="4" borderId="12" xfId="3" applyNumberFormat="1" applyFont="1" applyFill="1" applyBorder="1" applyAlignment="1" applyProtection="1">
      <alignment horizontal="center" vertical="center"/>
    </xf>
    <xf numFmtId="180" fontId="29" fillId="4" borderId="8" xfId="3" applyNumberFormat="1" applyFont="1" applyFill="1" applyBorder="1" applyAlignment="1" applyProtection="1">
      <alignment horizontal="right" vertical="center"/>
    </xf>
    <xf numFmtId="179" fontId="16" fillId="4" borderId="12" xfId="3" applyNumberFormat="1" applyFont="1" applyFill="1" applyBorder="1" applyAlignment="1" applyProtection="1">
      <alignment vertical="center"/>
    </xf>
    <xf numFmtId="180" fontId="16" fillId="4" borderId="12" xfId="3" applyNumberFormat="1" applyFont="1" applyFill="1" applyBorder="1" applyAlignment="1" applyProtection="1">
      <alignment vertical="center"/>
    </xf>
    <xf numFmtId="179" fontId="16" fillId="4" borderId="2" xfId="3" applyNumberFormat="1" applyFont="1" applyFill="1" applyBorder="1" applyAlignment="1" applyProtection="1">
      <alignment vertical="center"/>
    </xf>
    <xf numFmtId="179" fontId="18" fillId="3" borderId="6" xfId="3" applyNumberFormat="1" applyFont="1" applyFill="1" applyBorder="1" applyAlignment="1" applyProtection="1"/>
    <xf numFmtId="179" fontId="22" fillId="3" borderId="11" xfId="3" applyNumberFormat="1" applyFont="1" applyFill="1" applyBorder="1" applyAlignment="1" applyProtection="1"/>
    <xf numFmtId="179" fontId="22" fillId="3" borderId="11" xfId="3" applyNumberFormat="1" applyFont="1" applyFill="1" applyBorder="1" applyAlignment="1" applyProtection="1">
      <alignment horizontal="center"/>
    </xf>
    <xf numFmtId="179" fontId="16" fillId="3" borderId="8" xfId="3" applyNumberFormat="1" applyFont="1" applyFill="1" applyBorder="1" applyAlignment="1" applyProtection="1"/>
    <xf numFmtId="179" fontId="19" fillId="4" borderId="12" xfId="3" applyNumberFormat="1" applyFont="1" applyFill="1" applyBorder="1" applyAlignment="1" applyProtection="1">
      <alignment horizontal="left" vertical="center"/>
    </xf>
    <xf numFmtId="179" fontId="19" fillId="4" borderId="2" xfId="3" applyNumberFormat="1" applyFont="1" applyFill="1" applyBorder="1" applyAlignment="1" applyProtection="1">
      <alignment horizontal="center" vertical="center"/>
    </xf>
    <xf numFmtId="180" fontId="19" fillId="4" borderId="8" xfId="3" applyNumberFormat="1" applyFont="1" applyFill="1" applyBorder="1" applyAlignment="1" applyProtection="1">
      <alignment horizontal="right" vertical="center"/>
    </xf>
    <xf numFmtId="179" fontId="19" fillId="4" borderId="12" xfId="3" applyNumberFormat="1" applyFont="1" applyFill="1" applyBorder="1" applyAlignment="1" applyProtection="1">
      <alignment horizontal="right" vertical="center"/>
    </xf>
    <xf numFmtId="180" fontId="19" fillId="4" borderId="12" xfId="3" applyNumberFormat="1" applyFont="1" applyFill="1" applyBorder="1" applyAlignment="1" applyProtection="1">
      <alignment horizontal="right" vertical="center"/>
    </xf>
    <xf numFmtId="179" fontId="19" fillId="4" borderId="2" xfId="3" applyNumberFormat="1" applyFont="1" applyFill="1" applyBorder="1" applyAlignment="1" applyProtection="1">
      <alignment horizontal="right" vertical="center"/>
    </xf>
    <xf numFmtId="179" fontId="22" fillId="3" borderId="5" xfId="3" applyNumberFormat="1" applyFont="1" applyFill="1" applyBorder="1" applyAlignment="1" applyProtection="1">
      <alignment horizontal="center"/>
    </xf>
    <xf numFmtId="180" fontId="22" fillId="3" borderId="3" xfId="3" applyNumberFormat="1" applyFont="1" applyFill="1" applyBorder="1" applyAlignment="1" applyProtection="1"/>
    <xf numFmtId="180" fontId="22" fillId="3" borderId="35" xfId="3" applyNumberFormat="1" applyFont="1" applyFill="1" applyBorder="1" applyAlignment="1" applyProtection="1"/>
    <xf numFmtId="180" fontId="22" fillId="3" borderId="20" xfId="3" applyNumberFormat="1" applyFont="1" applyFill="1" applyBorder="1" applyAlignment="1" applyProtection="1"/>
    <xf numFmtId="179" fontId="16" fillId="0" borderId="8" xfId="3" applyNumberFormat="1" applyFont="1" applyFill="1" applyBorder="1" applyAlignment="1" applyProtection="1"/>
    <xf numFmtId="179" fontId="19" fillId="0" borderId="12" xfId="3" applyNumberFormat="1" applyFont="1" applyFill="1" applyBorder="1" applyAlignment="1" applyProtection="1"/>
    <xf numFmtId="179" fontId="19" fillId="0" borderId="2" xfId="3" applyNumberFormat="1" applyFont="1" applyFill="1" applyBorder="1" applyAlignment="1" applyProtection="1">
      <alignment horizontal="center"/>
    </xf>
    <xf numFmtId="180" fontId="19" fillId="0" borderId="1" xfId="3" applyNumberFormat="1" applyFont="1" applyFill="1" applyBorder="1" applyAlignment="1" applyProtection="1"/>
    <xf numFmtId="179" fontId="19" fillId="0" borderId="2" xfId="3" applyNumberFormat="1" applyFont="1" applyFill="1" applyBorder="1" applyAlignment="1" applyProtection="1"/>
    <xf numFmtId="179" fontId="16" fillId="2" borderId="8" xfId="3" applyNumberFormat="1" applyFont="1" applyFill="1" applyBorder="1" applyAlignment="1" applyProtection="1">
      <alignment vertical="center"/>
    </xf>
    <xf numFmtId="179" fontId="19" fillId="2" borderId="12" xfId="3" applyNumberFormat="1" applyFont="1" applyFill="1" applyBorder="1" applyAlignment="1" applyProtection="1">
      <alignment vertical="center"/>
    </xf>
    <xf numFmtId="179" fontId="22" fillId="2" borderId="2" xfId="3" applyNumberFormat="1" applyFont="1" applyFill="1" applyBorder="1" applyAlignment="1" applyProtection="1">
      <alignment horizontal="center" vertical="center"/>
    </xf>
    <xf numFmtId="180" fontId="19" fillId="2" borderId="1" xfId="3" applyNumberFormat="1" applyFont="1" applyFill="1" applyBorder="1" applyAlignment="1" applyProtection="1">
      <alignment vertical="center"/>
    </xf>
    <xf numFmtId="179" fontId="19" fillId="2" borderId="17" xfId="3" applyNumberFormat="1" applyFont="1" applyFill="1" applyBorder="1" applyAlignment="1" applyProtection="1">
      <alignment vertical="center"/>
    </xf>
    <xf numFmtId="179" fontId="19" fillId="2" borderId="2" xfId="3" applyNumberFormat="1" applyFont="1" applyFill="1" applyBorder="1" applyAlignment="1" applyProtection="1">
      <alignment vertical="center"/>
    </xf>
    <xf numFmtId="179" fontId="16" fillId="4" borderId="6" xfId="3" applyNumberFormat="1" applyFont="1" applyFill="1" applyBorder="1" applyAlignment="1" applyProtection="1">
      <alignment vertical="center"/>
    </xf>
    <xf numFmtId="179" fontId="16" fillId="2" borderId="4" xfId="3" applyNumberFormat="1" applyFont="1" applyFill="1" applyBorder="1" applyAlignment="1" applyProtection="1">
      <alignment vertical="center"/>
    </xf>
    <xf numFmtId="179" fontId="16" fillId="2" borderId="6" xfId="3" applyNumberFormat="1" applyFont="1" applyFill="1" applyBorder="1" applyAlignment="1" applyProtection="1">
      <alignment vertical="center"/>
    </xf>
    <xf numFmtId="179" fontId="16" fillId="0" borderId="6" xfId="3" applyNumberFormat="1" applyFont="1" applyFill="1" applyBorder="1" applyAlignment="1" applyProtection="1">
      <alignment vertical="center"/>
    </xf>
    <xf numFmtId="179" fontId="16" fillId="4" borderId="8" xfId="3" applyNumberFormat="1" applyFont="1" applyFill="1" applyBorder="1" applyAlignment="1" applyProtection="1">
      <alignment vertical="center"/>
    </xf>
    <xf numFmtId="179" fontId="18" fillId="2" borderId="4" xfId="3" applyNumberFormat="1" applyFont="1" applyFill="1" applyBorder="1" applyAlignment="1" applyProtection="1">
      <alignment vertical="center"/>
    </xf>
    <xf numFmtId="179" fontId="18" fillId="2" borderId="6" xfId="3" applyNumberFormat="1" applyFont="1" applyFill="1" applyBorder="1" applyAlignment="1" applyProtection="1">
      <alignment vertical="center"/>
    </xf>
    <xf numFmtId="179" fontId="22" fillId="2" borderId="10" xfId="3" applyNumberFormat="1" applyFont="1" applyFill="1" applyBorder="1" applyAlignment="1" applyProtection="1">
      <alignment vertical="center"/>
    </xf>
    <xf numFmtId="179" fontId="22" fillId="2" borderId="10" xfId="3" applyNumberFormat="1" applyFont="1" applyFill="1" applyBorder="1" applyAlignment="1" applyProtection="1">
      <alignment horizontal="center" vertical="center"/>
    </xf>
    <xf numFmtId="180" fontId="22" fillId="2" borderId="39" xfId="3" applyNumberFormat="1" applyFont="1" applyFill="1" applyBorder="1" applyAlignment="1" applyProtection="1">
      <alignment vertical="center"/>
    </xf>
    <xf numFmtId="179" fontId="22" fillId="2" borderId="9" xfId="3" applyNumberFormat="1" applyFont="1" applyFill="1" applyBorder="1" applyAlignment="1" applyProtection="1">
      <alignment vertical="center"/>
    </xf>
    <xf numFmtId="179" fontId="16" fillId="0" borderId="6" xfId="3" applyNumberFormat="1" applyFont="1" applyFill="1" applyBorder="1" applyAlignment="1" applyProtection="1">
      <alignment horizontal="center"/>
    </xf>
    <xf numFmtId="179" fontId="16" fillId="0" borderId="0" xfId="3" applyNumberFormat="1" applyFont="1" applyFill="1" applyBorder="1" applyAlignment="1" applyProtection="1">
      <alignment horizontal="center"/>
    </xf>
    <xf numFmtId="179" fontId="16" fillId="0" borderId="7" xfId="3" applyNumberFormat="1" applyFont="1" applyFill="1" applyBorder="1" applyAlignment="1" applyProtection="1">
      <alignment horizontal="center"/>
    </xf>
    <xf numFmtId="180" fontId="16" fillId="0" borderId="13" xfId="3" applyNumberFormat="1" applyFont="1" applyFill="1" applyBorder="1" applyAlignment="1" applyProtection="1">
      <alignment horizontal="center"/>
    </xf>
    <xf numFmtId="180" fontId="22" fillId="0" borderId="14" xfId="3" applyNumberFormat="1" applyFont="1" applyFill="1" applyBorder="1" applyAlignment="1" applyProtection="1"/>
    <xf numFmtId="179" fontId="19" fillId="9" borderId="2" xfId="3" applyNumberFormat="1" applyFont="1" applyFill="1" applyBorder="1" applyAlignment="1" applyProtection="1">
      <alignment horizontal="right" vertical="center"/>
    </xf>
    <xf numFmtId="179" fontId="18" fillId="3" borderId="11" xfId="3" applyNumberFormat="1" applyFont="1" applyFill="1" applyBorder="1" applyAlignment="1" applyProtection="1"/>
    <xf numFmtId="179" fontId="18" fillId="3" borderId="11" xfId="3" applyNumberFormat="1" applyFont="1" applyFill="1" applyBorder="1" applyAlignment="1" applyProtection="1">
      <alignment horizontal="center"/>
    </xf>
    <xf numFmtId="180" fontId="18" fillId="0" borderId="3" xfId="3" applyNumberFormat="1" applyFont="1" applyFill="1" applyBorder="1" applyAlignment="1" applyProtection="1"/>
    <xf numFmtId="180" fontId="18" fillId="0" borderId="35" xfId="3" applyNumberFormat="1" applyFont="1" applyFill="1" applyBorder="1" applyAlignment="1" applyProtection="1"/>
    <xf numFmtId="179" fontId="18" fillId="3" borderId="0" xfId="3" applyNumberFormat="1" applyFont="1" applyFill="1" applyBorder="1" applyAlignment="1" applyProtection="1"/>
    <xf numFmtId="179" fontId="18" fillId="3" borderId="0" xfId="3" applyNumberFormat="1" applyFont="1" applyFill="1" applyBorder="1" applyAlignment="1" applyProtection="1">
      <alignment horizontal="center"/>
    </xf>
    <xf numFmtId="180" fontId="18" fillId="0" borderId="21" xfId="3" applyNumberFormat="1" applyFont="1" applyFill="1" applyBorder="1" applyAlignment="1" applyProtection="1"/>
    <xf numFmtId="180" fontId="18" fillId="3" borderId="21" xfId="3" applyNumberFormat="1" applyFont="1" applyFill="1" applyBorder="1" applyAlignment="1" applyProtection="1"/>
    <xf numFmtId="179" fontId="16" fillId="3" borderId="12" xfId="3" applyNumberFormat="1" applyFont="1" applyFill="1" applyBorder="1" applyAlignment="1" applyProtection="1"/>
    <xf numFmtId="179" fontId="16" fillId="3" borderId="12" xfId="3" applyNumberFormat="1" applyFont="1" applyFill="1" applyBorder="1" applyAlignment="1" applyProtection="1">
      <alignment horizontal="center"/>
    </xf>
    <xf numFmtId="180" fontId="16" fillId="3" borderId="1" xfId="3" applyNumberFormat="1" applyFont="1" applyFill="1" applyBorder="1" applyAlignment="1" applyProtection="1"/>
    <xf numFmtId="179" fontId="16" fillId="3" borderId="2" xfId="3" applyNumberFormat="1" applyFont="1" applyFill="1" applyBorder="1" applyAlignment="1" applyProtection="1"/>
    <xf numFmtId="179" fontId="16" fillId="4" borderId="2" xfId="3" applyNumberFormat="1" applyFont="1" applyFill="1" applyBorder="1" applyAlignment="1" applyProtection="1">
      <alignment horizontal="center" vertical="center"/>
    </xf>
    <xf numFmtId="180" fontId="16" fillId="4" borderId="8" xfId="3" applyNumberFormat="1" applyFont="1" applyFill="1" applyBorder="1" applyAlignment="1" applyProtection="1">
      <alignment horizontal="right" vertical="center"/>
    </xf>
    <xf numFmtId="179" fontId="16" fillId="4" borderId="12" xfId="3" applyNumberFormat="1" applyFont="1" applyFill="1" applyBorder="1" applyAlignment="1" applyProtection="1">
      <alignment horizontal="right" vertical="center"/>
    </xf>
    <xf numFmtId="180" fontId="16" fillId="4" borderId="12" xfId="3" applyNumberFormat="1" applyFont="1" applyFill="1" applyBorder="1" applyAlignment="1" applyProtection="1">
      <alignment horizontal="right" vertical="center"/>
    </xf>
    <xf numFmtId="179" fontId="16" fillId="4" borderId="2" xfId="3" applyNumberFormat="1" applyFont="1" applyFill="1" applyBorder="1" applyAlignment="1" applyProtection="1">
      <alignment horizontal="right" vertical="center"/>
    </xf>
    <xf numFmtId="179" fontId="18" fillId="3" borderId="5" xfId="3" applyNumberFormat="1" applyFont="1" applyFill="1" applyBorder="1" applyAlignment="1" applyProtection="1">
      <alignment horizontal="center"/>
    </xf>
    <xf numFmtId="180" fontId="22" fillId="3" borderId="5" xfId="3" applyNumberFormat="1" applyFont="1" applyFill="1" applyBorder="1" applyAlignment="1" applyProtection="1"/>
    <xf numFmtId="179" fontId="18" fillId="3" borderId="7" xfId="3" applyNumberFormat="1" applyFont="1" applyFill="1" applyBorder="1" applyAlignment="1" applyProtection="1">
      <alignment horizontal="center"/>
    </xf>
    <xf numFmtId="180" fontId="18" fillId="3" borderId="7" xfId="3" applyNumberFormat="1" applyFont="1" applyFill="1" applyBorder="1" applyAlignment="1" applyProtection="1"/>
    <xf numFmtId="180" fontId="18" fillId="3" borderId="36" xfId="3" applyNumberFormat="1" applyFont="1" applyFill="1" applyBorder="1" applyAlignment="1" applyProtection="1"/>
    <xf numFmtId="179" fontId="16" fillId="0" borderId="12" xfId="3" applyNumberFormat="1" applyFont="1" applyFill="1" applyBorder="1" applyAlignment="1" applyProtection="1"/>
    <xf numFmtId="179" fontId="16" fillId="0" borderId="2" xfId="3" applyNumberFormat="1" applyFont="1" applyFill="1" applyBorder="1" applyAlignment="1" applyProtection="1">
      <alignment horizontal="center"/>
    </xf>
    <xf numFmtId="180" fontId="16" fillId="0" borderId="1" xfId="3" applyNumberFormat="1" applyFont="1" applyFill="1" applyBorder="1" applyAlignment="1" applyProtection="1"/>
    <xf numFmtId="179" fontId="16" fillId="0" borderId="1" xfId="3" applyNumberFormat="1" applyFont="1" applyFill="1" applyBorder="1" applyAlignment="1" applyProtection="1"/>
    <xf numFmtId="179" fontId="16" fillId="0" borderId="2" xfId="3" applyNumberFormat="1" applyFont="1" applyFill="1" applyBorder="1" applyAlignment="1" applyProtection="1"/>
    <xf numFmtId="180" fontId="16" fillId="0" borderId="2" xfId="3" applyNumberFormat="1" applyFont="1" applyFill="1" applyBorder="1" applyAlignment="1" applyProtection="1"/>
    <xf numFmtId="179" fontId="16" fillId="2" borderId="12" xfId="3" applyNumberFormat="1" applyFont="1" applyFill="1" applyBorder="1" applyAlignment="1" applyProtection="1">
      <alignment vertical="center"/>
    </xf>
    <xf numFmtId="179" fontId="18" fillId="2" borderId="2" xfId="3" applyNumberFormat="1" applyFont="1" applyFill="1" applyBorder="1" applyAlignment="1" applyProtection="1">
      <alignment horizontal="center" vertical="center"/>
    </xf>
    <xf numFmtId="180" fontId="16" fillId="2" borderId="1" xfId="3" applyNumberFormat="1" applyFont="1" applyFill="1" applyBorder="1" applyAlignment="1" applyProtection="1">
      <alignment vertical="center"/>
    </xf>
    <xf numFmtId="179" fontId="16" fillId="2" borderId="1" xfId="3" applyNumberFormat="1" applyFont="1" applyFill="1" applyBorder="1" applyAlignment="1" applyProtection="1">
      <alignment vertical="center"/>
    </xf>
    <xf numFmtId="179" fontId="16" fillId="2" borderId="2" xfId="3" applyNumberFormat="1" applyFont="1" applyFill="1" applyBorder="1" applyAlignment="1" applyProtection="1">
      <alignment vertical="center"/>
    </xf>
    <xf numFmtId="180" fontId="16" fillId="2" borderId="2" xfId="3" applyNumberFormat="1" applyFont="1" applyFill="1" applyBorder="1" applyAlignment="1" applyProtection="1">
      <alignment vertical="center"/>
    </xf>
    <xf numFmtId="179" fontId="16" fillId="4" borderId="0" xfId="3" applyNumberFormat="1" applyFont="1" applyFill="1" applyBorder="1" applyAlignment="1" applyProtection="1">
      <alignment vertical="center"/>
    </xf>
    <xf numFmtId="179" fontId="16" fillId="4" borderId="0" xfId="3" applyNumberFormat="1" applyFont="1" applyFill="1" applyBorder="1" applyAlignment="1" applyProtection="1">
      <alignment horizontal="center" vertical="center"/>
    </xf>
    <xf numFmtId="180" fontId="16" fillId="4" borderId="8" xfId="3" applyNumberFormat="1" applyFont="1" applyFill="1" applyBorder="1" applyAlignment="1" applyProtection="1">
      <alignment vertical="center"/>
    </xf>
    <xf numFmtId="179" fontId="30" fillId="4" borderId="12" xfId="3" applyNumberFormat="1" applyFont="1" applyFill="1" applyBorder="1" applyAlignment="1" applyProtection="1">
      <alignment vertical="center"/>
    </xf>
    <xf numFmtId="179" fontId="30" fillId="4" borderId="2" xfId="3" applyNumberFormat="1" applyFont="1" applyFill="1" applyBorder="1" applyAlignment="1" applyProtection="1">
      <alignment vertical="center"/>
    </xf>
    <xf numFmtId="179" fontId="18" fillId="2" borderId="11" xfId="3" applyNumberFormat="1" applyFont="1" applyFill="1" applyBorder="1" applyAlignment="1" applyProtection="1">
      <alignment vertical="center"/>
    </xf>
    <xf numFmtId="179" fontId="18" fillId="2" borderId="11" xfId="3" applyNumberFormat="1" applyFont="1" applyFill="1" applyBorder="1" applyAlignment="1" applyProtection="1">
      <alignment horizontal="center" vertical="center"/>
    </xf>
    <xf numFmtId="179" fontId="18" fillId="2" borderId="0" xfId="3" applyNumberFormat="1" applyFont="1" applyFill="1" applyBorder="1" applyAlignment="1" applyProtection="1">
      <alignment vertical="center"/>
    </xf>
    <xf numFmtId="179" fontId="18" fillId="2" borderId="0" xfId="3" applyNumberFormat="1" applyFont="1" applyFill="1" applyBorder="1" applyAlignment="1" applyProtection="1">
      <alignment horizontal="center" vertical="center"/>
    </xf>
    <xf numFmtId="179" fontId="18" fillId="0" borderId="0" xfId="3" applyNumberFormat="1" applyFont="1" applyFill="1" applyBorder="1" applyAlignment="1" applyProtection="1">
      <alignment vertical="center"/>
    </xf>
    <xf numFmtId="179" fontId="18" fillId="0" borderId="0" xfId="3" applyNumberFormat="1" applyFont="1" applyFill="1" applyBorder="1" applyAlignment="1" applyProtection="1">
      <alignment horizontal="center" vertical="center"/>
    </xf>
    <xf numFmtId="179" fontId="16" fillId="4" borderId="12" xfId="3" applyNumberFormat="1" applyFont="1" applyFill="1" applyBorder="1" applyAlignment="1" applyProtection="1">
      <alignment horizontal="center" vertical="center"/>
    </xf>
    <xf numFmtId="180" fontId="18" fillId="2" borderId="14" xfId="3" applyNumberFormat="1" applyFont="1" applyFill="1" applyBorder="1" applyAlignment="1" applyProtection="1">
      <alignment vertical="center"/>
    </xf>
    <xf numFmtId="179" fontId="18" fillId="2" borderId="37" xfId="3" applyNumberFormat="1" applyFont="1" applyFill="1" applyBorder="1" applyAlignment="1" applyProtection="1">
      <alignment vertical="center"/>
    </xf>
    <xf numFmtId="179" fontId="18" fillId="2" borderId="38" xfId="3" applyNumberFormat="1" applyFont="1" applyFill="1" applyBorder="1" applyAlignment="1" applyProtection="1">
      <alignment vertical="center"/>
    </xf>
    <xf numFmtId="180" fontId="18" fillId="2" borderId="13" xfId="3" applyNumberFormat="1" applyFont="1" applyFill="1" applyBorder="1" applyAlignment="1" applyProtection="1">
      <alignment vertical="center"/>
    </xf>
    <xf numFmtId="179" fontId="18" fillId="2" borderId="7" xfId="3" applyNumberFormat="1" applyFont="1" applyFill="1" applyBorder="1" applyAlignment="1" applyProtection="1">
      <alignment vertical="center"/>
    </xf>
    <xf numFmtId="164" fontId="31" fillId="0" borderId="0" xfId="0" applyNumberFormat="1" applyFont="1" applyAlignment="1" applyProtection="1">
      <alignment horizontal="left" vertical="center"/>
    </xf>
    <xf numFmtId="167" fontId="19" fillId="4" borderId="0" xfId="0" applyNumberFormat="1" applyFont="1" applyFill="1" applyProtection="1"/>
    <xf numFmtId="167" fontId="22" fillId="0" borderId="0" xfId="0" applyNumberFormat="1" applyFont="1" applyProtection="1"/>
    <xf numFmtId="167" fontId="22" fillId="0" borderId="0" xfId="0" applyNumberFormat="1" applyFont="1" applyBorder="1" applyProtection="1"/>
    <xf numFmtId="167" fontId="22" fillId="0" borderId="10" xfId="0" applyNumberFormat="1" applyFont="1" applyBorder="1" applyProtection="1"/>
    <xf numFmtId="167" fontId="22" fillId="4" borderId="12" xfId="0" applyNumberFormat="1" applyFont="1" applyFill="1" applyBorder="1" applyAlignment="1" applyProtection="1">
      <alignment horizontal="center" vertical="center"/>
    </xf>
    <xf numFmtId="167" fontId="19" fillId="4" borderId="2" xfId="0" applyNumberFormat="1" applyFont="1" applyFill="1" applyBorder="1" applyAlignment="1" applyProtection="1">
      <alignment horizontal="right"/>
    </xf>
    <xf numFmtId="2" fontId="46" fillId="0" borderId="21" xfId="0" applyNumberFormat="1" applyFont="1" applyBorder="1"/>
    <xf numFmtId="164" fontId="44" fillId="0" borderId="0" xfId="0" applyNumberFormat="1" applyFont="1" applyFill="1" applyBorder="1" applyAlignment="1" applyProtection="1">
      <alignment vertical="center"/>
    </xf>
    <xf numFmtId="0" fontId="43" fillId="0" borderId="0" xfId="0" applyFont="1" applyAlignment="1"/>
    <xf numFmtId="164" fontId="19" fillId="4" borderId="0" xfId="0" applyNumberFormat="1" applyFont="1" applyFill="1" applyAlignment="1" applyProtection="1">
      <alignment vertical="center"/>
    </xf>
    <xf numFmtId="0" fontId="46" fillId="4" borderId="0" xfId="0" applyFont="1" applyFill="1" applyAlignment="1"/>
    <xf numFmtId="0" fontId="46" fillId="0" borderId="0" xfId="0" applyFont="1" applyFill="1" applyAlignment="1"/>
    <xf numFmtId="0" fontId="46" fillId="0" borderId="0" xfId="0" applyFont="1" applyAlignment="1"/>
    <xf numFmtId="0" fontId="46" fillId="0" borderId="10" xfId="0" applyFont="1" applyBorder="1" applyAlignment="1"/>
    <xf numFmtId="0" fontId="46" fillId="4" borderId="12" xfId="0" applyFont="1" applyFill="1" applyBorder="1" applyAlignment="1"/>
    <xf numFmtId="0" fontId="44" fillId="0" borderId="0" xfId="0" applyFont="1" applyFill="1" applyAlignment="1">
      <alignment vertical="center"/>
    </xf>
    <xf numFmtId="0" fontId="47" fillId="0" borderId="0" xfId="0" applyFont="1" applyAlignment="1">
      <alignment horizontal="left" vertical="center"/>
    </xf>
    <xf numFmtId="0" fontId="53" fillId="0" borderId="0" xfId="0" applyFont="1"/>
    <xf numFmtId="180" fontId="37" fillId="5" borderId="12" xfId="3" applyNumberFormat="1" applyFont="1" applyFill="1" applyBorder="1" applyAlignment="1" applyProtection="1">
      <alignment vertical="center"/>
    </xf>
    <xf numFmtId="179" fontId="37" fillId="5" borderId="2" xfId="3" applyNumberFormat="1" applyFont="1" applyFill="1" applyBorder="1" applyAlignment="1" applyProtection="1">
      <alignment vertical="center"/>
    </xf>
    <xf numFmtId="180" fontId="18" fillId="2" borderId="10" xfId="3" applyNumberFormat="1" applyFont="1" applyFill="1" applyBorder="1" applyAlignment="1" applyProtection="1">
      <alignment vertical="center"/>
    </xf>
    <xf numFmtId="181" fontId="46" fillId="0" borderId="10" xfId="0" applyNumberFormat="1" applyFont="1" applyBorder="1" applyAlignment="1">
      <alignment vertical="center"/>
    </xf>
    <xf numFmtId="0" fontId="0" fillId="0" borderId="10" xfId="0" applyFont="1" applyBorder="1"/>
    <xf numFmtId="181" fontId="46" fillId="0" borderId="0" xfId="0" applyNumberFormat="1" applyFont="1" applyBorder="1" applyAlignment="1">
      <alignment vertical="center"/>
    </xf>
    <xf numFmtId="167" fontId="46" fillId="0" borderId="10" xfId="0" applyNumberFormat="1" applyFont="1" applyBorder="1" applyAlignment="1">
      <alignment vertical="center"/>
    </xf>
    <xf numFmtId="181" fontId="46" fillId="0" borderId="0" xfId="0" applyNumberFormat="1" applyFont="1" applyBorder="1" applyAlignment="1"/>
    <xf numFmtId="181" fontId="46" fillId="0" borderId="10" xfId="0" applyNumberFormat="1" applyFont="1" applyBorder="1" applyAlignment="1"/>
    <xf numFmtId="168" fontId="22" fillId="4" borderId="21" xfId="0" applyNumberFormat="1" applyFont="1" applyFill="1" applyBorder="1" applyAlignment="1" applyProtection="1">
      <alignment horizontal="center"/>
    </xf>
    <xf numFmtId="168" fontId="22" fillId="4" borderId="7" xfId="0" applyNumberFormat="1" applyFont="1" applyFill="1" applyBorder="1" applyAlignment="1" applyProtection="1">
      <alignment horizontal="center"/>
    </xf>
    <xf numFmtId="168" fontId="19" fillId="0" borderId="0" xfId="0" applyNumberFormat="1" applyFont="1" applyBorder="1" applyProtection="1"/>
    <xf numFmtId="166" fontId="22" fillId="0" borderId="0" xfId="0" applyNumberFormat="1" applyFont="1" applyBorder="1" applyProtection="1"/>
    <xf numFmtId="168" fontId="19" fillId="0" borderId="4" xfId="0" applyNumberFormat="1" applyFont="1" applyBorder="1" applyProtection="1"/>
    <xf numFmtId="168" fontId="22" fillId="0" borderId="6" xfId="0" applyNumberFormat="1" applyFont="1" applyBorder="1" applyProtection="1"/>
    <xf numFmtId="168" fontId="22" fillId="0" borderId="22" xfId="0" applyNumberFormat="1" applyFont="1" applyBorder="1" applyProtection="1"/>
    <xf numFmtId="166" fontId="22" fillId="0" borderId="10" xfId="0" applyNumberFormat="1" applyFont="1" applyBorder="1" applyProtection="1"/>
    <xf numFmtId="167" fontId="19" fillId="0" borderId="0" xfId="0" applyNumberFormat="1" applyFont="1" applyBorder="1" applyProtection="1"/>
    <xf numFmtId="168" fontId="22" fillId="4" borderId="4" xfId="0" applyNumberFormat="1" applyFont="1" applyFill="1" applyBorder="1" applyAlignment="1" applyProtection="1">
      <alignment horizontal="centerContinuous" vertical="center"/>
    </xf>
    <xf numFmtId="164" fontId="22" fillId="4" borderId="6" xfId="0" applyNumberFormat="1" applyFont="1" applyFill="1" applyBorder="1" applyAlignment="1" applyProtection="1">
      <alignment horizontal="center" vertical="center"/>
    </xf>
    <xf numFmtId="168" fontId="22" fillId="4" borderId="0" xfId="0" applyNumberFormat="1" applyFont="1" applyFill="1" applyBorder="1" applyAlignment="1" applyProtection="1">
      <alignment horizontal="right"/>
    </xf>
    <xf numFmtId="49" fontId="22" fillId="0" borderId="0" xfId="0" quotePrefix="1" applyNumberFormat="1" applyFont="1" applyAlignment="1" applyProtection="1">
      <alignment horizontal="left" vertical="center"/>
    </xf>
    <xf numFmtId="3" fontId="22" fillId="0" borderId="10" xfId="0" applyNumberFormat="1" applyFont="1" applyBorder="1" applyAlignment="1" applyProtection="1">
      <alignment horizontal="right" vertical="center"/>
    </xf>
    <xf numFmtId="3" fontId="19" fillId="4" borderId="0" xfId="0" applyNumberFormat="1" applyFont="1" applyFill="1" applyBorder="1" applyAlignment="1" applyProtection="1">
      <alignment horizontal="right" vertical="center"/>
    </xf>
    <xf numFmtId="168" fontId="19" fillId="4" borderId="0" xfId="0" applyNumberFormat="1" applyFont="1" applyFill="1" applyBorder="1" applyAlignment="1" applyProtection="1">
      <alignment vertical="center"/>
    </xf>
    <xf numFmtId="164" fontId="22" fillId="0" borderId="0" xfId="0" applyNumberFormat="1" applyFont="1" applyFill="1" applyBorder="1" applyAlignment="1" applyProtection="1">
      <alignment horizontal="center" vertical="center"/>
    </xf>
    <xf numFmtId="3" fontId="22" fillId="0" borderId="0" xfId="0" applyNumberFormat="1" applyFont="1" applyFill="1" applyBorder="1" applyAlignment="1" applyProtection="1">
      <alignment horizontal="center" vertical="center"/>
    </xf>
    <xf numFmtId="168" fontId="22" fillId="0" borderId="0" xfId="0" applyNumberFormat="1" applyFont="1" applyFill="1" applyBorder="1" applyAlignment="1" applyProtection="1">
      <alignment vertical="center"/>
    </xf>
    <xf numFmtId="3" fontId="22" fillId="0" borderId="0" xfId="0" applyNumberFormat="1" applyFont="1" applyBorder="1" applyProtection="1"/>
    <xf numFmtId="168" fontId="22" fillId="0" borderId="0" xfId="0" applyNumberFormat="1" applyFont="1" applyBorder="1" applyAlignment="1" applyProtection="1">
      <alignment vertical="center"/>
    </xf>
    <xf numFmtId="166" fontId="19" fillId="4" borderId="12" xfId="0" applyNumberFormat="1" applyFont="1" applyFill="1" applyBorder="1" applyAlignment="1" applyProtection="1">
      <alignment horizontal="right" vertical="center"/>
    </xf>
    <xf numFmtId="164" fontId="32" fillId="2" borderId="0" xfId="0" applyNumberFormat="1" applyFont="1" applyFill="1" applyAlignment="1" applyProtection="1">
      <alignment horizontal="left" vertical="center"/>
    </xf>
    <xf numFmtId="9" fontId="22" fillId="0" borderId="0" xfId="0" applyNumberFormat="1" applyFont="1" applyBorder="1" applyAlignment="1" applyProtection="1">
      <alignment vertical="center"/>
    </xf>
    <xf numFmtId="9" fontId="22" fillId="0" borderId="34" xfId="0" applyNumberFormat="1" applyFont="1" applyBorder="1" applyAlignment="1" applyProtection="1">
      <alignment vertical="center"/>
    </xf>
    <xf numFmtId="0" fontId="54" fillId="0" borderId="0" xfId="0" applyFont="1" applyAlignment="1">
      <alignment horizontal="center" vertical="center"/>
    </xf>
    <xf numFmtId="0" fontId="0" fillId="0" borderId="40" xfId="0" applyBorder="1"/>
    <xf numFmtId="0" fontId="0" fillId="0" borderId="41" xfId="0" applyBorder="1"/>
    <xf numFmtId="0" fontId="0" fillId="0" borderId="42" xfId="0" applyBorder="1"/>
    <xf numFmtId="0" fontId="0" fillId="0" borderId="43" xfId="0" applyBorder="1"/>
    <xf numFmtId="0" fontId="0" fillId="0" borderId="0" xfId="0" applyBorder="1"/>
    <xf numFmtId="0" fontId="0" fillId="0" borderId="44" xfId="0" applyBorder="1"/>
    <xf numFmtId="0" fontId="55" fillId="0" borderId="0" xfId="0" applyFont="1" applyBorder="1" applyAlignment="1">
      <alignment horizontal="center"/>
    </xf>
    <xf numFmtId="0" fontId="0" fillId="0" borderId="45" xfId="0" applyBorder="1"/>
    <xf numFmtId="0" fontId="0" fillId="0" borderId="46" xfId="0" applyBorder="1"/>
    <xf numFmtId="0" fontId="0" fillId="0" borderId="47" xfId="0" applyBorder="1"/>
    <xf numFmtId="0" fontId="56" fillId="0" borderId="0" xfId="0" applyNumberFormat="1" applyFont="1"/>
    <xf numFmtId="0" fontId="13" fillId="0" borderId="0" xfId="0" applyNumberFormat="1" applyFont="1"/>
    <xf numFmtId="0" fontId="57" fillId="0" borderId="0" xfId="0" applyFont="1"/>
    <xf numFmtId="0" fontId="8" fillId="0" borderId="0" xfId="0" applyNumberFormat="1" applyFont="1"/>
    <xf numFmtId="0" fontId="8" fillId="0" borderId="0" xfId="1" applyNumberFormat="1" applyFont="1" applyAlignment="1" applyProtection="1"/>
    <xf numFmtId="166" fontId="22" fillId="0" borderId="22" xfId="0" applyNumberFormat="1" applyFont="1" applyFill="1" applyBorder="1" applyAlignment="1" applyProtection="1">
      <alignment horizontal="right" vertical="center"/>
    </xf>
    <xf numFmtId="164" fontId="22" fillId="0" borderId="0" xfId="0" applyNumberFormat="1" applyFont="1" applyFill="1" applyProtection="1"/>
    <xf numFmtId="2" fontId="51" fillId="6" borderId="22" xfId="0" applyNumberFormat="1" applyFont="1" applyFill="1" applyBorder="1"/>
    <xf numFmtId="2" fontId="51" fillId="6" borderId="10" xfId="0" applyNumberFormat="1" applyFont="1" applyFill="1" applyBorder="1"/>
    <xf numFmtId="2" fontId="51" fillId="6" borderId="9" xfId="0" applyNumberFormat="1" applyFont="1" applyFill="1" applyBorder="1"/>
    <xf numFmtId="164" fontId="22" fillId="5" borderId="0" xfId="0" applyNumberFormat="1" applyFont="1" applyFill="1" applyProtection="1"/>
    <xf numFmtId="0" fontId="46" fillId="5" borderId="0" xfId="0" applyFont="1" applyFill="1"/>
    <xf numFmtId="0" fontId="46" fillId="0" borderId="0" xfId="0" applyFont="1" applyBorder="1" applyAlignment="1"/>
    <xf numFmtId="167" fontId="46" fillId="0" borderId="0" xfId="0" applyNumberFormat="1" applyFont="1" applyBorder="1" applyAlignment="1"/>
    <xf numFmtId="166" fontId="19" fillId="4" borderId="9" xfId="0" applyNumberFormat="1" applyFont="1" applyFill="1" applyBorder="1" applyAlignment="1" applyProtection="1">
      <alignment vertical="center"/>
    </xf>
    <xf numFmtId="164" fontId="52" fillId="5" borderId="0" xfId="0" applyNumberFormat="1" applyFont="1" applyFill="1" applyAlignment="1" applyProtection="1">
      <alignment horizontal="center" vertical="center"/>
    </xf>
    <xf numFmtId="0" fontId="43" fillId="0" borderId="0" xfId="0" applyFont="1" applyFill="1" applyAlignment="1" applyProtection="1"/>
    <xf numFmtId="0" fontId="43" fillId="0" borderId="0" xfId="0" applyFont="1" applyAlignment="1" applyProtection="1"/>
    <xf numFmtId="0" fontId="46" fillId="4" borderId="0" xfId="0" applyFont="1" applyFill="1" applyAlignment="1" applyProtection="1"/>
    <xf numFmtId="0" fontId="46" fillId="0" borderId="0" xfId="0" applyFont="1" applyFill="1" applyAlignment="1" applyProtection="1"/>
    <xf numFmtId="0" fontId="46" fillId="0" borderId="0" xfId="0" applyFont="1" applyAlignment="1" applyProtection="1">
      <alignment vertical="center"/>
    </xf>
    <xf numFmtId="0" fontId="46" fillId="0" borderId="10" xfId="0" applyFont="1" applyBorder="1" applyAlignment="1" applyProtection="1">
      <alignment vertical="center"/>
    </xf>
    <xf numFmtId="0" fontId="46" fillId="0" borderId="0" xfId="0" applyFont="1" applyAlignment="1" applyProtection="1"/>
    <xf numFmtId="10" fontId="46" fillId="0" borderId="3" xfId="0" applyNumberFormat="1" applyFont="1" applyBorder="1" applyProtection="1">
      <protection locked="0"/>
    </xf>
    <xf numFmtId="10" fontId="46" fillId="0" borderId="21" xfId="0" applyNumberFormat="1" applyFont="1" applyBorder="1" applyProtection="1">
      <protection locked="0"/>
    </xf>
    <xf numFmtId="9" fontId="46" fillId="0" borderId="3" xfId="0" applyNumberFormat="1" applyFont="1" applyBorder="1" applyProtection="1">
      <protection locked="0"/>
    </xf>
    <xf numFmtId="9" fontId="46" fillId="0" borderId="21" xfId="0" applyNumberFormat="1" applyFont="1" applyBorder="1" applyProtection="1">
      <protection locked="0"/>
    </xf>
    <xf numFmtId="164" fontId="22" fillId="0" borderId="0" xfId="0" applyNumberFormat="1" applyFont="1" applyAlignment="1" applyProtection="1">
      <alignment vertical="top" wrapText="1"/>
    </xf>
    <xf numFmtId="164" fontId="19" fillId="0" borderId="0" xfId="0" applyNumberFormat="1" applyFont="1" applyAlignment="1" applyProtection="1">
      <alignment vertical="top" wrapText="1"/>
    </xf>
    <xf numFmtId="0" fontId="0" fillId="0" borderId="0" xfId="0" applyProtection="1"/>
    <xf numFmtId="0" fontId="61" fillId="0" borderId="0" xfId="0" applyNumberFormat="1" applyFont="1" applyProtection="1">
      <protection locked="0"/>
    </xf>
    <xf numFmtId="0" fontId="62" fillId="0" borderId="0" xfId="0" applyNumberFormat="1" applyFont="1" applyProtection="1">
      <protection locked="0"/>
    </xf>
    <xf numFmtId="0" fontId="63" fillId="0" borderId="0" xfId="0" applyFont="1" applyProtection="1">
      <protection locked="0"/>
    </xf>
    <xf numFmtId="167" fontId="66" fillId="0" borderId="0" xfId="0" applyNumberFormat="1" applyFont="1" applyAlignment="1" applyProtection="1">
      <alignment vertical="center"/>
      <protection locked="0"/>
    </xf>
    <xf numFmtId="167" fontId="66" fillId="0" borderId="0" xfId="0" applyNumberFormat="1" applyFont="1" applyBorder="1" applyAlignment="1" applyProtection="1">
      <alignment vertical="center"/>
      <protection locked="0"/>
    </xf>
    <xf numFmtId="164" fontId="66" fillId="0" borderId="0" xfId="0" applyNumberFormat="1" applyFont="1" applyAlignment="1" applyProtection="1">
      <alignment vertical="center"/>
      <protection locked="0"/>
    </xf>
    <xf numFmtId="164" fontId="66" fillId="0" borderId="0" xfId="0" applyNumberFormat="1" applyFont="1" applyBorder="1" applyAlignment="1" applyProtection="1">
      <alignment vertical="center"/>
      <protection locked="0"/>
    </xf>
    <xf numFmtId="167" fontId="46" fillId="0" borderId="20" xfId="0" applyNumberFormat="1" applyFont="1" applyBorder="1" applyProtection="1"/>
    <xf numFmtId="167" fontId="66" fillId="0" borderId="21" xfId="0" applyNumberFormat="1" applyFont="1" applyBorder="1" applyProtection="1">
      <protection locked="0"/>
    </xf>
    <xf numFmtId="10" fontId="66" fillId="0" borderId="21" xfId="0" applyNumberFormat="1" applyFont="1" applyBorder="1" applyProtection="1">
      <protection locked="0"/>
    </xf>
    <xf numFmtId="10" fontId="66" fillId="0" borderId="20" xfId="0" applyNumberFormat="1" applyFont="1" applyBorder="1" applyProtection="1">
      <protection locked="0"/>
    </xf>
    <xf numFmtId="9" fontId="66" fillId="0" borderId="21" xfId="0" applyNumberFormat="1" applyFont="1" applyBorder="1" applyProtection="1">
      <protection locked="0"/>
    </xf>
    <xf numFmtId="9" fontId="66" fillId="0" borderId="0" xfId="0" applyNumberFormat="1" applyFont="1" applyProtection="1">
      <protection locked="0"/>
    </xf>
    <xf numFmtId="9" fontId="66" fillId="0" borderId="6" xfId="0" applyNumberFormat="1" applyFont="1" applyBorder="1" applyProtection="1">
      <protection locked="0"/>
    </xf>
    <xf numFmtId="9" fontId="66" fillId="0" borderId="22" xfId="0" applyNumberFormat="1" applyFont="1" applyBorder="1" applyProtection="1">
      <protection locked="0"/>
    </xf>
    <xf numFmtId="1" fontId="66" fillId="0" borderId="21" xfId="0" applyNumberFormat="1" applyFont="1" applyBorder="1" applyProtection="1">
      <protection locked="0"/>
    </xf>
    <xf numFmtId="10" fontId="66" fillId="0" borderId="4" xfId="0" applyNumberFormat="1" applyFont="1" applyBorder="1" applyProtection="1">
      <protection locked="0"/>
    </xf>
    <xf numFmtId="3" fontId="48" fillId="0" borderId="1" xfId="0" applyNumberFormat="1" applyFont="1" applyBorder="1" applyProtection="1"/>
    <xf numFmtId="3" fontId="48" fillId="0" borderId="0" xfId="0" applyNumberFormat="1" applyFont="1" applyProtection="1"/>
    <xf numFmtId="0" fontId="48" fillId="4" borderId="3" xfId="0" applyFont="1" applyFill="1" applyBorder="1" applyProtection="1"/>
    <xf numFmtId="3" fontId="48" fillId="0" borderId="1" xfId="0" applyNumberFormat="1" applyFont="1" applyBorder="1" applyAlignment="1" applyProtection="1"/>
    <xf numFmtId="3" fontId="20" fillId="4" borderId="2" xfId="0" applyNumberFormat="1" applyFont="1" applyFill="1" applyBorder="1" applyProtection="1"/>
    <xf numFmtId="3" fontId="20" fillId="4" borderId="1" xfId="0" applyNumberFormat="1" applyFont="1" applyFill="1" applyBorder="1" applyProtection="1"/>
    <xf numFmtId="3" fontId="49" fillId="4" borderId="1" xfId="0" applyNumberFormat="1" applyFont="1" applyFill="1" applyBorder="1" applyProtection="1"/>
    <xf numFmtId="0" fontId="43" fillId="0" borderId="0" xfId="0" applyFont="1" applyProtection="1"/>
    <xf numFmtId="9" fontId="66" fillId="0" borderId="0" xfId="0" applyNumberFormat="1" applyFont="1" applyBorder="1" applyProtection="1">
      <protection locked="0"/>
    </xf>
    <xf numFmtId="9" fontId="66" fillId="0" borderId="10" xfId="0" applyNumberFormat="1" applyFont="1" applyBorder="1" applyProtection="1">
      <protection locked="0"/>
    </xf>
    <xf numFmtId="0" fontId="46" fillId="0" borderId="0" xfId="0" applyFont="1" applyProtection="1"/>
    <xf numFmtId="0" fontId="0" fillId="0" borderId="6" xfId="0" applyBorder="1" applyProtection="1"/>
    <xf numFmtId="0" fontId="46" fillId="4" borderId="8" xfId="0" applyFont="1" applyFill="1" applyBorder="1" applyProtection="1"/>
    <xf numFmtId="167" fontId="46" fillId="4" borderId="12" xfId="0" applyNumberFormat="1" applyFont="1" applyFill="1" applyBorder="1" applyProtection="1"/>
    <xf numFmtId="0" fontId="46" fillId="4" borderId="12" xfId="0" applyFont="1" applyFill="1" applyBorder="1" applyProtection="1"/>
    <xf numFmtId="167" fontId="50" fillId="0" borderId="23" xfId="0" applyNumberFormat="1" applyFont="1" applyBorder="1" applyProtection="1"/>
    <xf numFmtId="0" fontId="51" fillId="0" borderId="0" xfId="0" applyFont="1" applyBorder="1" applyProtection="1"/>
    <xf numFmtId="10" fontId="52" fillId="0" borderId="0" xfId="0" applyNumberFormat="1" applyFont="1" applyBorder="1" applyProtection="1"/>
    <xf numFmtId="165" fontId="52" fillId="0" borderId="10" xfId="0" applyNumberFormat="1" applyFont="1" applyBorder="1" applyProtection="1"/>
    <xf numFmtId="0" fontId="46" fillId="0" borderId="7" xfId="0" applyFont="1" applyBorder="1" applyProtection="1"/>
    <xf numFmtId="0" fontId="50" fillId="0" borderId="20" xfId="0" applyFont="1" applyBorder="1" applyAlignment="1" applyProtection="1">
      <alignment horizontal="center"/>
    </xf>
    <xf numFmtId="167" fontId="66" fillId="0" borderId="0" xfId="0" applyNumberFormat="1" applyFont="1" applyBorder="1" applyProtection="1">
      <protection locked="0"/>
    </xf>
    <xf numFmtId="167" fontId="66" fillId="0" borderId="0" xfId="0" applyNumberFormat="1" applyFont="1" applyProtection="1">
      <protection locked="0"/>
    </xf>
    <xf numFmtId="3" fontId="66" fillId="0" borderId="0" xfId="0" applyNumberFormat="1" applyFont="1" applyBorder="1" applyAlignment="1" applyProtection="1">
      <alignment horizontal="right" vertical="center"/>
      <protection locked="0"/>
    </xf>
    <xf numFmtId="10" fontId="66" fillId="0" borderId="0" xfId="2" applyNumberFormat="1" applyFont="1" applyBorder="1" applyAlignment="1" applyProtection="1">
      <alignment horizontal="left" vertical="center"/>
      <protection locked="0"/>
    </xf>
    <xf numFmtId="164" fontId="66" fillId="0" borderId="0" xfId="0" applyNumberFormat="1" applyFont="1" applyBorder="1" applyAlignment="1" applyProtection="1">
      <alignment horizontal="center" vertical="center"/>
      <protection locked="0"/>
    </xf>
    <xf numFmtId="164" fontId="66" fillId="0" borderId="10" xfId="0" applyNumberFormat="1" applyFont="1" applyBorder="1" applyAlignment="1" applyProtection="1">
      <alignment horizontal="center" vertical="center"/>
      <protection locked="0"/>
    </xf>
    <xf numFmtId="3" fontId="66" fillId="0" borderId="0" xfId="0" applyNumberFormat="1" applyFont="1" applyBorder="1" applyProtection="1">
      <protection locked="0"/>
    </xf>
    <xf numFmtId="3" fontId="66" fillId="0" borderId="10" xfId="0" applyNumberFormat="1" applyFont="1" applyBorder="1" applyProtection="1">
      <protection locked="0"/>
    </xf>
    <xf numFmtId="9" fontId="66" fillId="0" borderId="0" xfId="0" applyNumberFormat="1" applyFont="1" applyAlignment="1" applyProtection="1">
      <alignment vertical="center"/>
      <protection locked="0"/>
    </xf>
    <xf numFmtId="3" fontId="66" fillId="0" borderId="10" xfId="0" applyNumberFormat="1" applyFont="1" applyBorder="1" applyAlignment="1" applyProtection="1">
      <alignment horizontal="right" vertical="center"/>
    </xf>
    <xf numFmtId="0" fontId="0" fillId="0" borderId="10" xfId="0" applyBorder="1" applyProtection="1"/>
    <xf numFmtId="0" fontId="18" fillId="0" borderId="0" xfId="0" applyNumberFormat="1" applyFont="1" applyBorder="1" applyAlignment="1" applyProtection="1">
      <alignment vertical="center"/>
    </xf>
    <xf numFmtId="164" fontId="22" fillId="0" borderId="0" xfId="0" applyNumberFormat="1" applyFont="1" applyAlignment="1" applyProtection="1">
      <alignment vertical="center" wrapText="1"/>
    </xf>
    <xf numFmtId="164" fontId="22" fillId="0" borderId="0" xfId="0" applyNumberFormat="1" applyFont="1" applyAlignment="1" applyProtection="1">
      <alignment wrapText="1"/>
    </xf>
    <xf numFmtId="166" fontId="22" fillId="0" borderId="0" xfId="0" applyNumberFormat="1" applyFont="1" applyAlignment="1" applyProtection="1">
      <alignment horizontal="left"/>
    </xf>
    <xf numFmtId="164" fontId="22" fillId="0" borderId="0" xfId="0" quotePrefix="1" applyNumberFormat="1" applyFont="1" applyAlignment="1" applyProtection="1">
      <alignment horizontal="center"/>
    </xf>
    <xf numFmtId="172" fontId="22" fillId="0" borderId="0" xfId="2" applyNumberFormat="1" applyFont="1" applyAlignment="1" applyProtection="1">
      <alignment horizontal="left"/>
    </xf>
    <xf numFmtId="173" fontId="22" fillId="0" borderId="0" xfId="2" applyNumberFormat="1" applyFont="1" applyAlignment="1" applyProtection="1">
      <alignment horizontal="center" vertical="center" wrapText="1"/>
    </xf>
    <xf numFmtId="166" fontId="22" fillId="0" borderId="0" xfId="4" applyNumberFormat="1" applyFont="1" applyAlignment="1" applyProtection="1">
      <alignment horizontal="left" wrapText="1"/>
    </xf>
    <xf numFmtId="174" fontId="22" fillId="0" borderId="0" xfId="0" applyNumberFormat="1" applyFont="1" applyAlignment="1" applyProtection="1">
      <alignment horizontal="left" vertical="center"/>
    </xf>
    <xf numFmtId="164" fontId="22" fillId="0" borderId="0" xfId="0" quotePrefix="1" applyNumberFormat="1" applyFont="1" applyAlignment="1" applyProtection="1"/>
    <xf numFmtId="166" fontId="22" fillId="0" borderId="0" xfId="0" quotePrefix="1" applyNumberFormat="1" applyFont="1" applyAlignment="1" applyProtection="1">
      <alignment horizontal="center" vertical="center"/>
    </xf>
    <xf numFmtId="174" fontId="22" fillId="0" borderId="0" xfId="0" applyNumberFormat="1" applyFont="1" applyAlignment="1" applyProtection="1">
      <alignment vertical="center"/>
    </xf>
    <xf numFmtId="3" fontId="66" fillId="0" borderId="6" xfId="0" applyNumberFormat="1" applyFont="1" applyBorder="1" applyAlignment="1" applyProtection="1">
      <alignment horizontal="right" vertical="center"/>
      <protection locked="0"/>
    </xf>
    <xf numFmtId="166" fontId="67" fillId="4" borderId="22" xfId="0" applyNumberFormat="1" applyFont="1" applyFill="1" applyBorder="1" applyAlignment="1" applyProtection="1">
      <alignment vertical="center"/>
      <protection locked="0"/>
    </xf>
    <xf numFmtId="9" fontId="66" fillId="0" borderId="9" xfId="0" applyNumberFormat="1" applyFont="1" applyFill="1" applyBorder="1" applyAlignment="1" applyProtection="1">
      <alignment vertical="center"/>
      <protection locked="0"/>
    </xf>
    <xf numFmtId="164" fontId="44" fillId="10" borderId="0" xfId="0" applyNumberFormat="1" applyFont="1" applyFill="1" applyAlignment="1" applyProtection="1">
      <alignment vertical="center"/>
    </xf>
    <xf numFmtId="0" fontId="46" fillId="5" borderId="0" xfId="0" applyFont="1" applyFill="1" applyProtection="1"/>
    <xf numFmtId="166" fontId="66" fillId="0" borderId="6" xfId="0" applyNumberFormat="1" applyFont="1" applyBorder="1" applyAlignment="1" applyProtection="1">
      <alignment horizontal="right" vertical="center"/>
      <protection locked="0"/>
    </xf>
    <xf numFmtId="166" fontId="66" fillId="0" borderId="22" xfId="0" applyNumberFormat="1" applyFont="1" applyBorder="1" applyAlignment="1" applyProtection="1">
      <alignment horizontal="right" vertical="center"/>
      <protection locked="0"/>
    </xf>
    <xf numFmtId="0" fontId="43" fillId="5" borderId="0" xfId="0" applyFont="1" applyFill="1" applyProtection="1"/>
    <xf numFmtId="0" fontId="51" fillId="5" borderId="0" xfId="0" applyFont="1" applyFill="1" applyProtection="1"/>
    <xf numFmtId="0" fontId="45" fillId="5" borderId="0" xfId="0" applyFont="1" applyFill="1" applyProtection="1"/>
    <xf numFmtId="44" fontId="43" fillId="0" borderId="21" xfId="0" applyNumberFormat="1" applyFont="1" applyBorder="1" applyProtection="1"/>
    <xf numFmtId="44" fontId="43" fillId="0" borderId="20" xfId="0" applyNumberFormat="1" applyFont="1" applyBorder="1" applyProtection="1"/>
    <xf numFmtId="178" fontId="56" fillId="0" borderId="0" xfId="0" applyNumberFormat="1" applyFont="1" applyProtection="1"/>
    <xf numFmtId="0" fontId="43" fillId="5" borderId="12" xfId="0" applyFont="1" applyFill="1" applyBorder="1" applyProtection="1"/>
    <xf numFmtId="0" fontId="46" fillId="0" borderId="0" xfId="0" applyFont="1" applyProtection="1">
      <protection locked="0"/>
    </xf>
    <xf numFmtId="164" fontId="66" fillId="0" borderId="9" xfId="0" applyNumberFormat="1" applyFont="1" applyBorder="1" applyAlignment="1" applyProtection="1">
      <alignment vertical="center"/>
      <protection locked="0"/>
    </xf>
    <xf numFmtId="164" fontId="66" fillId="0" borderId="20" xfId="0" applyNumberFormat="1" applyFont="1" applyBorder="1" applyAlignment="1" applyProtection="1">
      <alignment vertical="center"/>
      <protection locked="0"/>
    </xf>
    <xf numFmtId="3" fontId="66" fillId="0" borderId="20" xfId="0" applyNumberFormat="1" applyFont="1" applyBorder="1" applyAlignment="1" applyProtection="1">
      <alignment vertical="center"/>
      <protection locked="0"/>
    </xf>
    <xf numFmtId="178" fontId="66" fillId="0" borderId="20" xfId="0" applyNumberFormat="1" applyFont="1" applyBorder="1" applyAlignment="1" applyProtection="1">
      <alignment vertical="center"/>
      <protection locked="0"/>
    </xf>
    <xf numFmtId="166" fontId="66" fillId="0" borderId="10" xfId="0" applyNumberFormat="1" applyFont="1" applyBorder="1" applyAlignment="1" applyProtection="1">
      <alignment vertical="center"/>
      <protection locked="0"/>
    </xf>
    <xf numFmtId="164" fontId="11" fillId="4" borderId="8" xfId="0" applyNumberFormat="1" applyFont="1" applyFill="1" applyBorder="1" applyProtection="1"/>
    <xf numFmtId="164" fontId="8" fillId="4" borderId="12" xfId="0" applyNumberFormat="1" applyFont="1" applyFill="1" applyBorder="1" applyProtection="1"/>
    <xf numFmtId="164" fontId="8" fillId="4" borderId="2" xfId="0" applyNumberFormat="1" applyFont="1" applyFill="1" applyBorder="1" applyProtection="1"/>
    <xf numFmtId="164" fontId="8" fillId="0" borderId="14" xfId="0" applyNumberFormat="1" applyFont="1" applyBorder="1" applyProtection="1"/>
    <xf numFmtId="164" fontId="64" fillId="0" borderId="15" xfId="0" applyNumberFormat="1" applyFont="1" applyBorder="1" applyProtection="1"/>
    <xf numFmtId="164" fontId="8" fillId="0" borderId="15" xfId="0" applyNumberFormat="1" applyFont="1" applyBorder="1" applyProtection="1"/>
    <xf numFmtId="164" fontId="8" fillId="0" borderId="16" xfId="0" applyNumberFormat="1" applyFont="1" applyBorder="1" applyProtection="1"/>
    <xf numFmtId="164" fontId="8" fillId="0" borderId="17" xfId="0" applyNumberFormat="1" applyFont="1" applyBorder="1" applyProtection="1"/>
    <xf numFmtId="164" fontId="64" fillId="0" borderId="15" xfId="0" applyNumberFormat="1" applyFont="1" applyBorder="1" applyProtection="1">
      <protection locked="0"/>
    </xf>
    <xf numFmtId="179" fontId="8" fillId="2" borderId="1" xfId="3" applyNumberFormat="1" applyFont="1" applyFill="1" applyBorder="1" applyProtection="1"/>
    <xf numFmtId="179" fontId="22" fillId="0" borderId="5" xfId="3" applyNumberFormat="1" applyFont="1" applyFill="1" applyBorder="1" applyAlignment="1" applyProtection="1"/>
    <xf numFmtId="179" fontId="22" fillId="0" borderId="36" xfId="3" applyNumberFormat="1" applyFont="1" applyFill="1" applyBorder="1" applyAlignment="1" applyProtection="1"/>
    <xf numFmtId="179" fontId="22" fillId="0" borderId="7" xfId="3" applyNumberFormat="1" applyFont="1" applyFill="1" applyBorder="1" applyAlignment="1" applyProtection="1"/>
    <xf numFmtId="179" fontId="22" fillId="3" borderId="36" xfId="3" applyNumberFormat="1" applyFont="1" applyFill="1" applyBorder="1" applyAlignment="1" applyProtection="1"/>
    <xf numFmtId="179" fontId="22" fillId="3" borderId="7" xfId="3" applyNumberFormat="1" applyFont="1" applyFill="1" applyBorder="1" applyAlignment="1" applyProtection="1"/>
    <xf numFmtId="179" fontId="22" fillId="0" borderId="21" xfId="3" applyNumberFormat="1" applyFont="1" applyFill="1" applyBorder="1" applyAlignment="1" applyProtection="1"/>
    <xf numFmtId="179" fontId="22" fillId="3" borderId="21" xfId="3" applyNumberFormat="1" applyFont="1" applyFill="1" applyBorder="1" applyAlignment="1" applyProtection="1"/>
    <xf numFmtId="180" fontId="22" fillId="0" borderId="14" xfId="3" applyNumberFormat="1" applyFont="1" applyFill="1" applyBorder="1" applyAlignment="1" applyProtection="1">
      <alignment vertical="center"/>
    </xf>
    <xf numFmtId="179" fontId="22" fillId="0" borderId="5" xfId="3" applyNumberFormat="1" applyFont="1" applyFill="1" applyBorder="1" applyAlignment="1" applyProtection="1">
      <alignment vertical="center"/>
    </xf>
    <xf numFmtId="180" fontId="22" fillId="0" borderId="35" xfId="3" applyNumberFormat="1" applyFont="1" applyFill="1" applyBorder="1" applyAlignment="1" applyProtection="1">
      <alignment vertical="center"/>
    </xf>
    <xf numFmtId="179" fontId="22" fillId="0" borderId="11" xfId="3" applyNumberFormat="1" applyFont="1" applyFill="1" applyBorder="1" applyAlignment="1" applyProtection="1">
      <alignment vertical="center"/>
    </xf>
    <xf numFmtId="179" fontId="22" fillId="0" borderId="7" xfId="3" applyNumberFormat="1" applyFont="1" applyFill="1" applyBorder="1" applyAlignment="1" applyProtection="1">
      <alignment vertical="center"/>
    </xf>
    <xf numFmtId="180" fontId="22" fillId="0" borderId="36" xfId="3" applyNumberFormat="1" applyFont="1" applyFill="1" applyBorder="1" applyAlignment="1" applyProtection="1">
      <alignment vertical="center"/>
    </xf>
    <xf numFmtId="179" fontId="22" fillId="3" borderId="5" xfId="3" applyNumberFormat="1" applyFont="1" applyFill="1" applyBorder="1" applyAlignment="1" applyProtection="1"/>
    <xf numFmtId="164" fontId="43" fillId="0" borderId="0" xfId="0" applyNumberFormat="1" applyFont="1" applyProtection="1"/>
    <xf numFmtId="164" fontId="0" fillId="0" borderId="0" xfId="0" applyNumberFormat="1" applyProtection="1"/>
    <xf numFmtId="164" fontId="8" fillId="0" borderId="4" xfId="0" applyNumberFormat="1" applyFont="1" applyBorder="1" applyProtection="1"/>
    <xf numFmtId="164" fontId="41" fillId="6" borderId="0" xfId="0" applyNumberFormat="1" applyFont="1" applyFill="1" applyBorder="1" applyAlignment="1" applyProtection="1">
      <alignment vertical="center"/>
    </xf>
    <xf numFmtId="164" fontId="8" fillId="6" borderId="0" xfId="0" applyNumberFormat="1" applyFont="1" applyFill="1" applyBorder="1" applyAlignment="1" applyProtection="1"/>
    <xf numFmtId="164" fontId="0" fillId="6" borderId="0" xfId="0" applyNumberFormat="1" applyFill="1" applyBorder="1" applyProtection="1"/>
    <xf numFmtId="164" fontId="0" fillId="6" borderId="0" xfId="0" applyNumberFormat="1" applyFill="1" applyBorder="1" applyAlignment="1" applyProtection="1"/>
    <xf numFmtId="179" fontId="25" fillId="3" borderId="5" xfId="3" applyNumberFormat="1" applyFont="1" applyFill="1" applyBorder="1" applyAlignment="1" applyProtection="1"/>
    <xf numFmtId="179" fontId="25" fillId="3" borderId="7" xfId="3" applyNumberFormat="1" applyFont="1" applyFill="1" applyBorder="1" applyAlignment="1" applyProtection="1"/>
    <xf numFmtId="179" fontId="18" fillId="3" borderId="21" xfId="3" applyNumberFormat="1" applyFont="1" applyFill="1" applyBorder="1" applyAlignment="1" applyProtection="1"/>
    <xf numFmtId="179" fontId="18" fillId="3" borderId="7" xfId="3" applyNumberFormat="1" applyFont="1" applyFill="1" applyBorder="1" applyAlignment="1" applyProtection="1"/>
    <xf numFmtId="180" fontId="18" fillId="0" borderId="14" xfId="3" applyNumberFormat="1" applyFont="1" applyFill="1" applyBorder="1" applyAlignment="1" applyProtection="1">
      <alignment vertical="center"/>
    </xf>
    <xf numFmtId="179" fontId="25" fillId="0" borderId="5" xfId="3" applyNumberFormat="1" applyFont="1" applyFill="1" applyBorder="1" applyAlignment="1" applyProtection="1">
      <alignment vertical="center"/>
    </xf>
    <xf numFmtId="180" fontId="18" fillId="0" borderId="35" xfId="3" applyNumberFormat="1" applyFont="1" applyFill="1" applyBorder="1" applyAlignment="1" applyProtection="1">
      <alignment vertical="center"/>
    </xf>
    <xf numFmtId="179" fontId="25" fillId="0" borderId="11" xfId="3" applyNumberFormat="1" applyFont="1" applyFill="1" applyBorder="1" applyAlignment="1" applyProtection="1">
      <alignment vertical="center"/>
    </xf>
    <xf numFmtId="180" fontId="18" fillId="0" borderId="13" xfId="3" applyNumberFormat="1" applyFont="1" applyFill="1" applyBorder="1" applyAlignment="1" applyProtection="1">
      <alignment vertical="center"/>
    </xf>
    <xf numFmtId="179" fontId="25" fillId="0" borderId="7" xfId="3" applyNumberFormat="1" applyFont="1" applyFill="1" applyBorder="1" applyAlignment="1" applyProtection="1">
      <alignment vertical="center"/>
    </xf>
    <xf numFmtId="180" fontId="18" fillId="0" borderId="36" xfId="3" applyNumberFormat="1" applyFont="1" applyFill="1" applyBorder="1" applyAlignment="1" applyProtection="1">
      <alignment vertical="center"/>
    </xf>
    <xf numFmtId="179" fontId="25" fillId="0" borderId="0" xfId="3" applyNumberFormat="1" applyFont="1" applyFill="1" applyBorder="1" applyAlignment="1" applyProtection="1">
      <alignment vertical="center"/>
    </xf>
    <xf numFmtId="164" fontId="69" fillId="0" borderId="15" xfId="0" applyNumberFormat="1" applyFont="1" applyBorder="1" applyProtection="1">
      <protection locked="0"/>
    </xf>
    <xf numFmtId="164" fontId="69" fillId="0" borderId="19" xfId="0" applyNumberFormat="1" applyFont="1" applyBorder="1" applyProtection="1">
      <protection locked="0"/>
    </xf>
    <xf numFmtId="164" fontId="69" fillId="0" borderId="18" xfId="0" applyNumberFormat="1" applyFont="1" applyBorder="1" applyProtection="1">
      <protection locked="0"/>
    </xf>
    <xf numFmtId="179" fontId="8" fillId="2" borderId="1" xfId="3" applyNumberFormat="1" applyFont="1" applyFill="1" applyBorder="1" applyProtection="1">
      <protection locked="0"/>
    </xf>
    <xf numFmtId="179" fontId="11" fillId="2" borderId="1" xfId="3" applyNumberFormat="1" applyFont="1" applyFill="1" applyBorder="1" applyProtection="1">
      <protection locked="0"/>
    </xf>
    <xf numFmtId="0" fontId="0" fillId="0" borderId="0" xfId="0" applyFont="1" applyProtection="1"/>
    <xf numFmtId="0" fontId="43" fillId="0" borderId="0" xfId="0" applyNumberFormat="1" applyFont="1" applyProtection="1"/>
    <xf numFmtId="0" fontId="62" fillId="0" borderId="0" xfId="0" applyNumberFormat="1" applyFont="1" applyProtection="1"/>
    <xf numFmtId="0" fontId="63" fillId="0" borderId="0" xfId="0" applyFont="1" applyProtection="1"/>
    <xf numFmtId="0" fontId="64" fillId="0" borderId="0" xfId="0" applyNumberFormat="1" applyFont="1" applyProtection="1"/>
    <xf numFmtId="0" fontId="65" fillId="0" borderId="0" xfId="0" applyFont="1" applyProtection="1"/>
    <xf numFmtId="0" fontId="46" fillId="0" borderId="0" xfId="0" applyNumberFormat="1" applyFont="1" applyProtection="1"/>
    <xf numFmtId="0" fontId="64" fillId="0" borderId="0" xfId="1" applyNumberFormat="1" applyFont="1" applyAlignment="1" applyProtection="1"/>
    <xf numFmtId="0" fontId="42" fillId="0" borderId="0" xfId="0" applyFont="1" applyAlignment="1" applyProtection="1">
      <alignment vertical="center" wrapText="1"/>
    </xf>
    <xf numFmtId="0" fontId="42" fillId="0" borderId="0" xfId="0" applyFont="1" applyAlignment="1" applyProtection="1">
      <alignment vertical="center"/>
    </xf>
    <xf numFmtId="164" fontId="22" fillId="0" borderId="0" xfId="0" applyNumberFormat="1" applyFont="1" applyFill="1" applyBorder="1" applyAlignment="1" applyProtection="1">
      <alignment vertical="top" wrapText="1"/>
    </xf>
    <xf numFmtId="164" fontId="70" fillId="0" borderId="0" xfId="1" applyNumberFormat="1" applyFont="1" applyAlignment="1" applyProtection="1">
      <alignment vertical="top" wrapText="1"/>
    </xf>
    <xf numFmtId="0" fontId="70" fillId="0" borderId="0" xfId="1" applyFont="1" applyAlignment="1" applyProtection="1"/>
    <xf numFmtId="0" fontId="71" fillId="0" borderId="0" xfId="0" applyFont="1" applyProtection="1"/>
    <xf numFmtId="168" fontId="19" fillId="0" borderId="22" xfId="0" applyNumberFormat="1" applyFont="1" applyBorder="1" applyProtection="1"/>
    <xf numFmtId="0" fontId="71" fillId="0" borderId="0" xfId="0" applyFont="1" applyAlignment="1" applyProtection="1">
      <alignment vertical="center"/>
    </xf>
    <xf numFmtId="168" fontId="22" fillId="0" borderId="0" xfId="0" applyNumberFormat="1" applyFont="1" applyAlignment="1" applyProtection="1">
      <alignment vertical="center"/>
    </xf>
    <xf numFmtId="168" fontId="70" fillId="0" borderId="0" xfId="1" applyNumberFormat="1" applyFont="1" applyAlignment="1" applyProtection="1"/>
    <xf numFmtId="3" fontId="66" fillId="0" borderId="10" xfId="0" applyNumberFormat="1" applyFont="1" applyBorder="1" applyAlignment="1" applyProtection="1">
      <alignment horizontal="right" vertical="center"/>
      <protection locked="0"/>
    </xf>
    <xf numFmtId="0" fontId="43" fillId="0" borderId="0" xfId="0" applyFont="1" applyProtection="1">
      <protection locked="0"/>
    </xf>
    <xf numFmtId="0" fontId="43" fillId="0" borderId="0" xfId="0" applyFont="1" applyFill="1" applyBorder="1" applyProtection="1">
      <protection locked="0"/>
    </xf>
    <xf numFmtId="164" fontId="10" fillId="11" borderId="11" xfId="0" applyNumberFormat="1" applyFont="1" applyFill="1" applyBorder="1" applyAlignment="1" applyProtection="1">
      <alignment horizontal="center" vertical="center"/>
      <protection locked="0"/>
    </xf>
    <xf numFmtId="164" fontId="10" fillId="11" borderId="5" xfId="0" applyNumberFormat="1" applyFont="1" applyFill="1" applyBorder="1" applyAlignment="1" applyProtection="1">
      <alignment horizontal="center" vertical="center"/>
      <protection locked="0"/>
    </xf>
    <xf numFmtId="164" fontId="10" fillId="11" borderId="10" xfId="0" applyNumberFormat="1" applyFont="1" applyFill="1" applyBorder="1" applyAlignment="1" applyProtection="1">
      <alignment horizontal="center" vertical="center"/>
      <protection locked="0"/>
    </xf>
    <xf numFmtId="0" fontId="43" fillId="11" borderId="9" xfId="0" applyFont="1" applyFill="1" applyBorder="1" applyProtection="1">
      <protection locked="0"/>
    </xf>
    <xf numFmtId="164" fontId="2" fillId="0" borderId="0" xfId="0" applyNumberFormat="1" applyFont="1" applyFill="1" applyAlignment="1" applyProtection="1">
      <alignment vertical="center"/>
      <protection locked="0"/>
    </xf>
    <xf numFmtId="49" fontId="68" fillId="0" borderId="0" xfId="0" applyNumberFormat="1" applyFont="1" applyFill="1" applyBorder="1" applyAlignment="1" applyProtection="1">
      <alignment horizontal="left" vertical="center"/>
      <protection locked="0"/>
    </xf>
    <xf numFmtId="164" fontId="68" fillId="0" borderId="0" xfId="0" applyNumberFormat="1" applyFont="1" applyFill="1" applyBorder="1" applyAlignment="1" applyProtection="1">
      <alignment horizontal="right" vertical="center"/>
      <protection locked="0"/>
    </xf>
    <xf numFmtId="0" fontId="68" fillId="0" borderId="0" xfId="0" applyNumberFormat="1" applyFont="1" applyFill="1" applyBorder="1" applyAlignment="1" applyProtection="1">
      <alignment horizontal="right" vertical="center"/>
      <protection locked="0"/>
    </xf>
    <xf numFmtId="167" fontId="68" fillId="0" borderId="0" xfId="0" applyNumberFormat="1" applyFont="1" applyFill="1" applyBorder="1" applyAlignment="1" applyProtection="1">
      <alignment horizontal="right" vertical="center"/>
      <protection locked="0"/>
    </xf>
    <xf numFmtId="167" fontId="64" fillId="0" borderId="0" xfId="0" applyNumberFormat="1" applyFont="1" applyProtection="1">
      <protection locked="0"/>
    </xf>
    <xf numFmtId="0" fontId="68" fillId="0" borderId="0" xfId="0" applyFont="1" applyFill="1" applyBorder="1" applyAlignment="1" applyProtection="1">
      <alignment horizontal="right" vertical="center"/>
      <protection locked="0"/>
    </xf>
    <xf numFmtId="0" fontId="63" fillId="0" borderId="0" xfId="0" applyFont="1" applyFill="1" applyProtection="1">
      <protection locked="0"/>
    </xf>
    <xf numFmtId="0" fontId="65" fillId="0" borderId="0" xfId="0" applyNumberFormat="1" applyFont="1" applyFill="1" applyProtection="1">
      <protection locked="0"/>
    </xf>
    <xf numFmtId="164" fontId="64" fillId="0" borderId="0" xfId="0" applyNumberFormat="1" applyFont="1" applyFill="1" applyBorder="1" applyAlignment="1" applyProtection="1">
      <alignment horizontal="left" vertical="center"/>
      <protection locked="0"/>
    </xf>
    <xf numFmtId="164" fontId="64" fillId="0" borderId="0" xfId="0" applyNumberFormat="1" applyFont="1" applyFill="1" applyBorder="1" applyAlignment="1" applyProtection="1">
      <alignment vertical="center"/>
      <protection locked="0"/>
    </xf>
    <xf numFmtId="0" fontId="64" fillId="0" borderId="0" xfId="0" applyNumberFormat="1" applyFont="1" applyFill="1" applyBorder="1" applyAlignment="1" applyProtection="1">
      <alignment vertical="center"/>
      <protection locked="0"/>
    </xf>
    <xf numFmtId="164" fontId="8" fillId="0" borderId="11" xfId="0" applyNumberFormat="1" applyFont="1" applyFill="1" applyBorder="1" applyAlignment="1" applyProtection="1">
      <alignment horizontal="left" vertical="center"/>
      <protection locked="0"/>
    </xf>
    <xf numFmtId="164" fontId="8" fillId="0" borderId="11" xfId="0" applyNumberFormat="1" applyFont="1" applyFill="1" applyBorder="1" applyAlignment="1" applyProtection="1">
      <alignment vertical="center"/>
      <protection locked="0"/>
    </xf>
    <xf numFmtId="0" fontId="8" fillId="0" borderId="11" xfId="0" applyNumberFormat="1" applyFont="1" applyFill="1" applyBorder="1" applyAlignment="1" applyProtection="1">
      <alignment vertical="center"/>
      <protection locked="0"/>
    </xf>
    <xf numFmtId="0" fontId="8" fillId="0" borderId="11" xfId="0" applyNumberFormat="1" applyFont="1" applyFill="1" applyBorder="1" applyAlignment="1" applyProtection="1">
      <alignment horizontal="right" vertical="center"/>
      <protection locked="0"/>
    </xf>
    <xf numFmtId="167" fontId="8" fillId="0" borderId="11" xfId="0" applyNumberFormat="1" applyFont="1" applyFill="1" applyBorder="1" applyAlignment="1" applyProtection="1">
      <alignment horizontal="right" vertical="center"/>
      <protection locked="0"/>
    </xf>
    <xf numFmtId="167" fontId="58" fillId="0" borderId="11" xfId="0" applyNumberFormat="1" applyFont="1" applyBorder="1" applyProtection="1">
      <protection locked="0"/>
    </xf>
    <xf numFmtId="164" fontId="8" fillId="0" borderId="0" xfId="0" applyNumberFormat="1" applyFont="1" applyFill="1" applyBorder="1" applyProtection="1">
      <protection locked="0"/>
    </xf>
    <xf numFmtId="0" fontId="58" fillId="0" borderId="0" xfId="0" applyFont="1" applyProtection="1">
      <protection locked="0"/>
    </xf>
    <xf numFmtId="164" fontId="5" fillId="0" borderId="0" xfId="0" applyNumberFormat="1" applyFont="1" applyFill="1" applyBorder="1" applyAlignment="1" applyProtection="1">
      <alignment vertical="center"/>
      <protection locked="0"/>
    </xf>
    <xf numFmtId="164" fontId="5" fillId="0" borderId="0" xfId="0" applyNumberFormat="1" applyFont="1" applyFill="1" applyBorder="1" applyAlignment="1" applyProtection="1">
      <alignment horizontal="center" vertical="center"/>
      <protection locked="0"/>
    </xf>
    <xf numFmtId="164" fontId="5" fillId="0" borderId="0" xfId="0" applyNumberFormat="1" applyFont="1" applyFill="1" applyBorder="1" applyAlignment="1" applyProtection="1">
      <alignment vertical="center" wrapText="1"/>
      <protection locked="0"/>
    </xf>
    <xf numFmtId="164" fontId="5" fillId="4" borderId="0" xfId="0" applyNumberFormat="1" applyFont="1" applyFill="1" applyBorder="1" applyAlignment="1" applyProtection="1">
      <alignment vertical="center"/>
      <protection locked="0"/>
    </xf>
    <xf numFmtId="164" fontId="5" fillId="4" borderId="0" xfId="0" applyNumberFormat="1" applyFont="1" applyFill="1" applyBorder="1" applyAlignment="1" applyProtection="1">
      <alignment horizontal="center" vertical="center"/>
      <protection locked="0"/>
    </xf>
    <xf numFmtId="164" fontId="8" fillId="4" borderId="0" xfId="0" applyNumberFormat="1" applyFont="1" applyFill="1" applyBorder="1" applyAlignment="1" applyProtection="1">
      <alignment vertical="center" wrapText="1"/>
      <protection locked="0"/>
    </xf>
    <xf numFmtId="164" fontId="8" fillId="0" borderId="0" xfId="0" applyNumberFormat="1" applyFont="1" applyAlignment="1" applyProtection="1">
      <alignment vertical="center"/>
      <protection locked="0"/>
    </xf>
    <xf numFmtId="178" fontId="8" fillId="0" borderId="0" xfId="0" applyNumberFormat="1" applyFont="1" applyAlignment="1" applyProtection="1">
      <alignment vertical="center"/>
      <protection locked="0"/>
    </xf>
    <xf numFmtId="178" fontId="8" fillId="0" borderId="0" xfId="0" applyNumberFormat="1" applyFont="1" applyAlignment="1" applyProtection="1">
      <alignment horizontal="right" vertical="center"/>
      <protection locked="0"/>
    </xf>
    <xf numFmtId="164" fontId="8" fillId="0" borderId="0" xfId="0" applyNumberFormat="1" applyFont="1" applyBorder="1" applyAlignment="1" applyProtection="1">
      <alignment vertical="center"/>
      <protection locked="0"/>
    </xf>
    <xf numFmtId="178" fontId="8" fillId="0" borderId="0" xfId="0" applyNumberFormat="1" applyFont="1" applyBorder="1" applyAlignment="1" applyProtection="1">
      <alignment vertical="center"/>
      <protection locked="0"/>
    </xf>
    <xf numFmtId="178" fontId="8" fillId="0" borderId="0" xfId="0" applyNumberFormat="1" applyFont="1" applyBorder="1" applyAlignment="1" applyProtection="1">
      <alignment horizontal="right" vertical="center"/>
      <protection locked="0"/>
    </xf>
    <xf numFmtId="0" fontId="43" fillId="5" borderId="0" xfId="0" applyFont="1" applyFill="1" applyBorder="1" applyProtection="1">
      <protection locked="0"/>
    </xf>
    <xf numFmtId="164" fontId="8" fillId="0" borderId="0" xfId="0" applyNumberFormat="1" applyFont="1" applyBorder="1" applyAlignment="1" applyProtection="1">
      <alignment horizontal="left" vertical="center"/>
      <protection locked="0"/>
    </xf>
    <xf numFmtId="164" fontId="8" fillId="0" borderId="0" xfId="0" applyNumberFormat="1" applyFont="1" applyBorder="1" applyAlignment="1" applyProtection="1">
      <alignment horizontal="right" vertical="center"/>
      <protection locked="0"/>
    </xf>
    <xf numFmtId="3" fontId="8" fillId="0" borderId="0" xfId="0" applyNumberFormat="1" applyFont="1" applyBorder="1" applyAlignment="1" applyProtection="1">
      <alignment vertical="center"/>
      <protection locked="0"/>
    </xf>
    <xf numFmtId="164" fontId="8" fillId="0" borderId="0" xfId="0" applyNumberFormat="1" applyFont="1" applyProtection="1">
      <protection locked="0"/>
    </xf>
    <xf numFmtId="164" fontId="5" fillId="11" borderId="11" xfId="0" applyNumberFormat="1" applyFont="1" applyFill="1" applyBorder="1" applyAlignment="1" applyProtection="1">
      <alignment vertical="center"/>
      <protection locked="0"/>
    </xf>
    <xf numFmtId="164" fontId="5" fillId="11" borderId="11" xfId="0" applyNumberFormat="1" applyFont="1" applyFill="1" applyBorder="1" applyAlignment="1" applyProtection="1">
      <alignment horizontal="centerContinuous" vertical="center"/>
      <protection locked="0"/>
    </xf>
    <xf numFmtId="164" fontId="5" fillId="11" borderId="11" xfId="0" applyNumberFormat="1" applyFont="1" applyFill="1" applyBorder="1" applyAlignment="1" applyProtection="1">
      <alignment horizontal="left" vertical="center"/>
      <protection locked="0"/>
    </xf>
    <xf numFmtId="164" fontId="5" fillId="11" borderId="10" xfId="0" applyNumberFormat="1" applyFont="1" applyFill="1" applyBorder="1" applyAlignment="1" applyProtection="1">
      <alignment vertical="center"/>
      <protection locked="0"/>
    </xf>
    <xf numFmtId="164" fontId="5" fillId="11" borderId="10" xfId="0" applyNumberFormat="1" applyFont="1" applyFill="1" applyBorder="1" applyAlignment="1" applyProtection="1">
      <alignment horizontal="right" vertical="center"/>
      <protection locked="0"/>
    </xf>
    <xf numFmtId="164" fontId="5" fillId="11" borderId="10" xfId="0" applyNumberFormat="1" applyFont="1" applyFill="1" applyBorder="1" applyAlignment="1" applyProtection="1">
      <alignment horizontal="center" vertical="center"/>
      <protection locked="0"/>
    </xf>
    <xf numFmtId="164" fontId="64" fillId="0" borderId="0" xfId="0" applyNumberFormat="1" applyFont="1" applyAlignment="1" applyProtection="1">
      <alignment vertical="center"/>
      <protection locked="0"/>
    </xf>
    <xf numFmtId="3" fontId="64" fillId="0" borderId="0" xfId="0" applyNumberFormat="1" applyFont="1" applyAlignment="1" applyProtection="1">
      <alignment vertical="center"/>
      <protection locked="0"/>
    </xf>
    <xf numFmtId="178" fontId="64" fillId="0" borderId="0" xfId="0" applyNumberFormat="1" applyFont="1" applyAlignment="1" applyProtection="1">
      <alignment vertical="center"/>
      <protection locked="0"/>
    </xf>
    <xf numFmtId="178" fontId="62" fillId="0" borderId="0" xfId="0" applyNumberFormat="1" applyFont="1" applyProtection="1">
      <protection locked="0"/>
    </xf>
    <xf numFmtId="164" fontId="64" fillId="0" borderId="0" xfId="0" applyNumberFormat="1" applyFont="1" applyAlignment="1" applyProtection="1">
      <alignment horizontal="left" vertical="center"/>
      <protection locked="0"/>
    </xf>
    <xf numFmtId="164" fontId="64" fillId="0" borderId="10" xfId="0" applyNumberFormat="1" applyFont="1" applyBorder="1" applyAlignment="1" applyProtection="1">
      <alignment vertical="center"/>
      <protection locked="0"/>
    </xf>
    <xf numFmtId="3" fontId="64" fillId="0" borderId="10" xfId="0" applyNumberFormat="1" applyFont="1" applyBorder="1" applyAlignment="1" applyProtection="1">
      <alignment vertical="center"/>
      <protection locked="0"/>
    </xf>
    <xf numFmtId="178" fontId="64" fillId="0" borderId="10" xfId="0" applyNumberFormat="1" applyFont="1" applyBorder="1" applyAlignment="1" applyProtection="1">
      <alignment vertical="center"/>
      <protection locked="0"/>
    </xf>
    <xf numFmtId="164" fontId="8" fillId="0" borderId="0" xfId="0" applyNumberFormat="1" applyFont="1" applyAlignment="1" applyProtection="1">
      <alignment horizontal="left" vertical="center"/>
      <protection locked="0"/>
    </xf>
    <xf numFmtId="164" fontId="8" fillId="0" borderId="0" xfId="0" applyNumberFormat="1" applyFont="1" applyAlignment="1" applyProtection="1">
      <alignment horizontal="right" vertical="center"/>
      <protection locked="0"/>
    </xf>
    <xf numFmtId="3" fontId="8" fillId="0" borderId="0" xfId="0" applyNumberFormat="1" applyFont="1" applyAlignment="1" applyProtection="1">
      <alignment vertical="center"/>
      <protection locked="0"/>
    </xf>
    <xf numFmtId="178" fontId="8" fillId="0" borderId="0" xfId="0" applyNumberFormat="1" applyFont="1" applyAlignment="1" applyProtection="1">
      <alignment horizontal="left" vertical="center"/>
      <protection locked="0"/>
    </xf>
    <xf numFmtId="178" fontId="43" fillId="0" borderId="11" xfId="0" applyNumberFormat="1" applyFont="1" applyBorder="1" applyProtection="1">
      <protection locked="0"/>
    </xf>
    <xf numFmtId="0" fontId="43" fillId="5" borderId="0" xfId="0" applyFont="1" applyFill="1" applyProtection="1">
      <protection locked="0"/>
    </xf>
    <xf numFmtId="0" fontId="0" fillId="0" borderId="0" xfId="0" applyProtection="1">
      <protection locked="0"/>
    </xf>
    <xf numFmtId="0" fontId="59" fillId="0" borderId="0" xfId="0" applyFont="1" applyFill="1" applyProtection="1">
      <protection locked="0"/>
    </xf>
    <xf numFmtId="167" fontId="45" fillId="0" borderId="0" xfId="0" applyNumberFormat="1" applyFont="1" applyProtection="1">
      <protection locked="0"/>
    </xf>
    <xf numFmtId="164" fontId="22" fillId="0" borderId="0" xfId="0" applyNumberFormat="1" applyFont="1" applyAlignment="1" applyProtection="1">
      <alignment horizontal="left" vertical="center"/>
      <protection locked="0"/>
    </xf>
    <xf numFmtId="164" fontId="22" fillId="0" borderId="0" xfId="0" applyNumberFormat="1" applyFont="1" applyAlignment="1" applyProtection="1">
      <alignment vertical="center"/>
      <protection locked="0"/>
    </xf>
    <xf numFmtId="178" fontId="22" fillId="0" borderId="20" xfId="0" applyNumberFormat="1" applyFont="1" applyBorder="1" applyAlignment="1" applyProtection="1">
      <alignment vertical="center"/>
      <protection locked="0"/>
    </xf>
    <xf numFmtId="178" fontId="43" fillId="0" borderId="20" xfId="0" applyNumberFormat="1" applyFont="1" applyBorder="1" applyProtection="1">
      <protection locked="0"/>
    </xf>
    <xf numFmtId="166" fontId="66" fillId="0" borderId="0" xfId="0" applyNumberFormat="1" applyFont="1" applyBorder="1" applyAlignment="1" applyProtection="1">
      <alignment vertical="center"/>
      <protection locked="0"/>
    </xf>
    <xf numFmtId="0" fontId="42" fillId="0" borderId="0" xfId="0" applyFont="1" applyAlignment="1">
      <alignment horizontal="center" vertical="center" wrapText="1"/>
    </xf>
    <xf numFmtId="167" fontId="50" fillId="4" borderId="12" xfId="0" applyNumberFormat="1" applyFont="1" applyFill="1" applyBorder="1" applyAlignment="1"/>
    <xf numFmtId="167" fontId="50" fillId="4" borderId="2" xfId="0" applyNumberFormat="1" applyFont="1" applyFill="1" applyBorder="1" applyAlignment="1"/>
    <xf numFmtId="164" fontId="44" fillId="10" borderId="0" xfId="0" applyNumberFormat="1" applyFont="1" applyFill="1" applyBorder="1" applyAlignment="1" applyProtection="1">
      <alignment horizontal="center" vertical="center"/>
    </xf>
    <xf numFmtId="164" fontId="2" fillId="0" borderId="0" xfId="0" applyNumberFormat="1" applyFont="1" applyFill="1" applyBorder="1" applyAlignment="1" applyProtection="1"/>
    <xf numFmtId="164" fontId="2" fillId="0" borderId="0" xfId="0" applyNumberFormat="1" applyFont="1" applyFill="1" applyBorder="1" applyAlignment="1" applyProtection="1">
      <alignment horizontal="right"/>
    </xf>
    <xf numFmtId="44" fontId="50" fillId="0" borderId="10" xfId="4" applyFont="1" applyBorder="1" applyAlignment="1">
      <alignment horizontal="right" vertical="center"/>
    </xf>
    <xf numFmtId="167" fontId="50" fillId="0" borderId="10" xfId="0" applyNumberFormat="1" applyFont="1" applyBorder="1" applyAlignment="1">
      <alignment horizontal="right"/>
    </xf>
    <xf numFmtId="164" fontId="44" fillId="5" borderId="0" xfId="0" applyNumberFormat="1" applyFont="1" applyFill="1" applyAlignment="1" applyProtection="1">
      <alignment horizontal="center" vertical="center"/>
    </xf>
    <xf numFmtId="164" fontId="18" fillId="4" borderId="3" xfId="0" applyNumberFormat="1" applyFont="1" applyFill="1" applyBorder="1" applyAlignment="1" applyProtection="1">
      <alignment horizontal="center" vertical="center" wrapText="1"/>
    </xf>
    <xf numFmtId="164" fontId="18" fillId="4" borderId="20" xfId="0" applyNumberFormat="1" applyFont="1" applyFill="1" applyBorder="1" applyAlignment="1" applyProtection="1">
      <alignment horizontal="center" vertical="center" wrapText="1"/>
    </xf>
    <xf numFmtId="164" fontId="22" fillId="4" borderId="20" xfId="0" applyNumberFormat="1" applyFont="1" applyFill="1" applyBorder="1" applyAlignment="1">
      <alignment horizontal="center" vertical="center" wrapText="1"/>
    </xf>
    <xf numFmtId="164" fontId="22" fillId="0" borderId="0" xfId="0" applyNumberFormat="1" applyFont="1" applyAlignment="1" applyProtection="1">
      <alignment horizontal="left" vertical="top" wrapText="1"/>
      <protection locked="0"/>
    </xf>
    <xf numFmtId="164" fontId="22" fillId="0" borderId="0" xfId="0" applyNumberFormat="1" applyFont="1" applyAlignment="1" applyProtection="1">
      <alignment horizontal="left" vertical="top" wrapText="1"/>
    </xf>
    <xf numFmtId="0" fontId="5" fillId="2" borderId="4" xfId="1" applyFont="1" applyFill="1" applyBorder="1" applyAlignment="1" applyProtection="1">
      <alignment vertical="top" wrapText="1"/>
    </xf>
    <xf numFmtId="0" fontId="5" fillId="2" borderId="22" xfId="1" applyFont="1" applyFill="1" applyBorder="1" applyAlignment="1" applyProtection="1">
      <alignment vertical="top" wrapText="1"/>
    </xf>
    <xf numFmtId="168" fontId="44" fillId="5" borderId="0" xfId="0" applyNumberFormat="1" applyFont="1" applyFill="1" applyBorder="1" applyAlignment="1" applyProtection="1">
      <alignment horizontal="center" vertical="center"/>
    </xf>
    <xf numFmtId="168" fontId="18" fillId="4" borderId="4" xfId="0" applyNumberFormat="1" applyFont="1" applyFill="1" applyBorder="1" applyAlignment="1" applyProtection="1">
      <alignment horizontal="center" vertical="center"/>
    </xf>
    <xf numFmtId="168" fontId="18" fillId="4" borderId="6" xfId="0" applyNumberFormat="1" applyFont="1" applyFill="1" applyBorder="1" applyAlignment="1" applyProtection="1">
      <alignment horizontal="center" vertical="center"/>
    </xf>
    <xf numFmtId="168" fontId="22" fillId="4" borderId="11" xfId="0" applyNumberFormat="1" applyFont="1" applyFill="1" applyBorder="1" applyAlignment="1" applyProtection="1">
      <alignment horizontal="center" vertical="center"/>
    </xf>
    <xf numFmtId="168" fontId="22" fillId="4" borderId="5" xfId="0" applyNumberFormat="1" applyFont="1" applyFill="1" applyBorder="1" applyAlignment="1" applyProtection="1">
      <alignment horizontal="center" vertical="center"/>
    </xf>
    <xf numFmtId="168" fontId="22" fillId="4" borderId="4" xfId="0" applyNumberFormat="1" applyFont="1" applyFill="1" applyBorder="1" applyAlignment="1" applyProtection="1">
      <alignment horizontal="center" vertical="center"/>
    </xf>
    <xf numFmtId="168" fontId="22" fillId="4" borderId="22" xfId="0" applyNumberFormat="1" applyFont="1" applyFill="1" applyBorder="1" applyAlignment="1" applyProtection="1">
      <alignment horizontal="center" vertical="center"/>
    </xf>
    <xf numFmtId="168" fontId="22" fillId="4" borderId="9" xfId="0" applyNumberFormat="1" applyFont="1" applyFill="1" applyBorder="1" applyAlignment="1" applyProtection="1">
      <alignment horizontal="center" vertical="center"/>
    </xf>
    <xf numFmtId="164" fontId="18" fillId="0" borderId="0" xfId="0" applyNumberFormat="1" applyFont="1" applyAlignment="1" applyProtection="1">
      <alignment vertical="top" wrapText="1"/>
    </xf>
    <xf numFmtId="164" fontId="46" fillId="0" borderId="0" xfId="0" applyNumberFormat="1" applyFont="1" applyAlignment="1" applyProtection="1">
      <alignment vertical="top" wrapText="1"/>
    </xf>
    <xf numFmtId="164" fontId="44" fillId="10" borderId="0" xfId="0" applyNumberFormat="1" applyFont="1" applyFill="1" applyAlignment="1" applyProtection="1">
      <alignment horizontal="center" vertical="center"/>
    </xf>
    <xf numFmtId="164" fontId="16" fillId="4" borderId="22" xfId="0" applyNumberFormat="1" applyFont="1" applyFill="1" applyBorder="1" applyAlignment="1" applyProtection="1">
      <alignment horizontal="center" vertical="center"/>
    </xf>
    <xf numFmtId="164" fontId="16" fillId="4" borderId="9" xfId="0" applyNumberFormat="1" applyFont="1" applyFill="1" applyBorder="1" applyAlignment="1" applyProtection="1">
      <alignment horizontal="center" vertical="center"/>
    </xf>
    <xf numFmtId="164" fontId="52" fillId="5" borderId="0" xfId="0" applyNumberFormat="1" applyFont="1" applyFill="1" applyAlignment="1" applyProtection="1">
      <alignment horizontal="center" vertical="center"/>
    </xf>
    <xf numFmtId="164" fontId="16" fillId="4" borderId="4" xfId="0" applyNumberFormat="1" applyFont="1" applyFill="1" applyBorder="1" applyAlignment="1" applyProtection="1">
      <alignment horizontal="center" vertical="center"/>
    </xf>
    <xf numFmtId="164" fontId="16" fillId="4" borderId="5" xfId="0" applyNumberFormat="1" applyFont="1" applyFill="1" applyBorder="1" applyAlignment="1" applyProtection="1">
      <alignment horizontal="center" vertical="center"/>
    </xf>
    <xf numFmtId="164" fontId="16" fillId="4" borderId="8" xfId="0" applyNumberFormat="1" applyFont="1" applyFill="1" applyBorder="1" applyAlignment="1" applyProtection="1">
      <alignment horizontal="center" vertical="center"/>
    </xf>
    <xf numFmtId="164" fontId="16" fillId="4" borderId="2" xfId="0" applyNumberFormat="1" applyFont="1" applyFill="1" applyBorder="1" applyAlignment="1" applyProtection="1">
      <alignment horizontal="center" vertical="center"/>
    </xf>
    <xf numFmtId="164" fontId="18" fillId="0" borderId="0" xfId="0" applyNumberFormat="1" applyFont="1" applyAlignment="1" applyProtection="1">
      <alignment horizontal="left" vertical="center" wrapText="1"/>
    </xf>
    <xf numFmtId="164" fontId="16" fillId="4" borderId="48" xfId="0" applyNumberFormat="1" applyFont="1" applyFill="1" applyBorder="1" applyAlignment="1" applyProtection="1">
      <alignment horizontal="center" vertical="center" wrapText="1"/>
    </xf>
    <xf numFmtId="164" fontId="16" fillId="4" borderId="49" xfId="0" applyNumberFormat="1" applyFont="1" applyFill="1" applyBorder="1" applyAlignment="1" applyProtection="1">
      <alignment horizontal="center" vertical="center" wrapText="1"/>
    </xf>
    <xf numFmtId="164" fontId="16" fillId="4" borderId="28" xfId="0" applyNumberFormat="1" applyFont="1" applyFill="1" applyBorder="1" applyAlignment="1" applyProtection="1">
      <alignment horizontal="center" vertical="center" wrapText="1"/>
    </xf>
    <xf numFmtId="164" fontId="16" fillId="4" borderId="29" xfId="0" applyNumberFormat="1" applyFont="1" applyFill="1" applyBorder="1" applyAlignment="1" applyProtection="1">
      <alignment horizontal="center" vertical="center" wrapText="1"/>
    </xf>
    <xf numFmtId="164" fontId="16" fillId="4" borderId="48" xfId="0" applyNumberFormat="1" applyFont="1" applyFill="1" applyBorder="1" applyAlignment="1" applyProtection="1">
      <alignment horizontal="center" vertical="center"/>
    </xf>
    <xf numFmtId="164" fontId="16" fillId="4" borderId="49" xfId="0" applyNumberFormat="1" applyFont="1" applyFill="1" applyBorder="1" applyAlignment="1" applyProtection="1">
      <alignment horizontal="center" vertical="center"/>
    </xf>
    <xf numFmtId="164" fontId="12" fillId="4" borderId="26" xfId="0" applyNumberFormat="1" applyFont="1" applyFill="1" applyBorder="1" applyAlignment="1" applyProtection="1">
      <alignment horizontal="center" vertical="center"/>
    </xf>
    <xf numFmtId="164" fontId="12" fillId="4" borderId="27" xfId="0" applyNumberFormat="1" applyFont="1" applyFill="1" applyBorder="1" applyAlignment="1" applyProtection="1">
      <alignment horizontal="center" vertical="center"/>
    </xf>
    <xf numFmtId="164" fontId="10" fillId="11" borderId="4" xfId="0" applyNumberFormat="1" applyFont="1" applyFill="1" applyBorder="1" applyAlignment="1" applyProtection="1">
      <alignment horizontal="center" vertical="center"/>
      <protection locked="0"/>
    </xf>
    <xf numFmtId="164" fontId="10" fillId="11" borderId="22" xfId="0" applyNumberFormat="1" applyFont="1" applyFill="1" applyBorder="1" applyAlignment="1" applyProtection="1">
      <alignment horizontal="center" vertical="center"/>
      <protection locked="0"/>
    </xf>
    <xf numFmtId="164" fontId="10" fillId="11" borderId="11" xfId="0" applyNumberFormat="1" applyFont="1" applyFill="1" applyBorder="1" applyAlignment="1" applyProtection="1">
      <alignment horizontal="center" vertical="center"/>
      <protection locked="0"/>
    </xf>
    <xf numFmtId="164" fontId="10" fillId="11" borderId="10" xfId="0" applyNumberFormat="1" applyFont="1" applyFill="1" applyBorder="1" applyAlignment="1" applyProtection="1">
      <alignment horizontal="center" vertical="center"/>
      <protection locked="0"/>
    </xf>
    <xf numFmtId="164" fontId="10" fillId="11" borderId="11" xfId="0" applyNumberFormat="1" applyFont="1" applyFill="1" applyBorder="1" applyAlignment="1" applyProtection="1">
      <alignment horizontal="center" vertical="center" wrapText="1"/>
      <protection locked="0"/>
    </xf>
    <xf numFmtId="164" fontId="43" fillId="11" borderId="10" xfId="0" applyNumberFormat="1" applyFont="1" applyFill="1" applyBorder="1" applyAlignment="1" applyProtection="1">
      <alignment vertical="center" wrapText="1"/>
      <protection locked="0"/>
    </xf>
    <xf numFmtId="164" fontId="5" fillId="11" borderId="4" xfId="0" applyNumberFormat="1" applyFont="1" applyFill="1" applyBorder="1" applyAlignment="1" applyProtection="1">
      <alignment horizontal="center" vertical="center" wrapText="1"/>
      <protection locked="0"/>
    </xf>
    <xf numFmtId="164" fontId="5" fillId="11" borderId="22" xfId="0" applyNumberFormat="1" applyFont="1" applyFill="1" applyBorder="1" applyAlignment="1" applyProtection="1">
      <alignment horizontal="center" vertical="center" wrapText="1"/>
      <protection locked="0"/>
    </xf>
    <xf numFmtId="164" fontId="44" fillId="5" borderId="0" xfId="0" applyNumberFormat="1" applyFont="1" applyFill="1" applyBorder="1" applyAlignment="1" applyProtection="1">
      <alignment horizontal="center" vertical="center"/>
    </xf>
    <xf numFmtId="164" fontId="38" fillId="5" borderId="16" xfId="0" applyNumberFormat="1" applyFont="1" applyFill="1" applyBorder="1" applyAlignment="1" applyProtection="1">
      <alignment horizontal="center"/>
    </xf>
    <xf numFmtId="164" fontId="38" fillId="5" borderId="50" xfId="0" applyNumberFormat="1" applyFont="1" applyFill="1" applyBorder="1" applyAlignment="1" applyProtection="1">
      <alignment horizontal="center"/>
    </xf>
    <xf numFmtId="180" fontId="52" fillId="5" borderId="8" xfId="3" applyNumberFormat="1" applyFont="1" applyFill="1" applyBorder="1" applyAlignment="1" applyProtection="1">
      <alignment horizontal="center" vertical="center"/>
    </xf>
    <xf numFmtId="164" fontId="51" fillId="5" borderId="2" xfId="0" applyNumberFormat="1" applyFont="1" applyFill="1" applyBorder="1" applyAlignment="1" applyProtection="1">
      <alignment horizontal="center" vertical="center"/>
    </xf>
    <xf numFmtId="180" fontId="52" fillId="8" borderId="8" xfId="3" applyNumberFormat="1" applyFont="1" applyFill="1" applyBorder="1" applyAlignment="1" applyProtection="1">
      <alignment horizontal="center" vertical="center"/>
    </xf>
    <xf numFmtId="164" fontId="46" fillId="0" borderId="2" xfId="0" applyNumberFormat="1" applyFont="1" applyBorder="1" applyAlignment="1" applyProtection="1">
      <alignment horizontal="center" vertical="center"/>
    </xf>
    <xf numFmtId="0" fontId="44" fillId="10" borderId="0" xfId="0" applyFont="1" applyFill="1" applyAlignment="1">
      <alignment horizontal="center" vertical="center"/>
    </xf>
  </cellXfs>
  <cellStyles count="5">
    <cellStyle name="Hyperlink" xfId="1" builtinId="8"/>
    <cellStyle name="Prozent" xfId="2" builtinId="5"/>
    <cellStyle name="Standard" xfId="0" builtinId="0"/>
    <cellStyle name="Standard_Finanzplan" xfId="3"/>
    <cellStyle name="Währung" xfId="4" builtin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view3D>
      <c:rotX val="15"/>
      <c:rotY val="70"/>
      <c:depthPercent val="100"/>
      <c:rAngAx val="1"/>
    </c:view3D>
    <c:floor>
      <c:thickness val="0"/>
    </c:floor>
    <c:sideWall>
      <c:thickness val="0"/>
    </c:sideWall>
    <c:backWall>
      <c:thickness val="0"/>
    </c:backWall>
    <c:plotArea>
      <c:layout>
        <c:manualLayout>
          <c:layoutTarget val="inner"/>
          <c:xMode val="edge"/>
          <c:yMode val="edge"/>
          <c:x val="6.4153369284377676E-2"/>
          <c:y val="2.9010137919393188E-2"/>
          <c:w val="0.88039324282990949"/>
          <c:h val="0.87653994564553572"/>
        </c:manualLayout>
      </c:layout>
      <c:bar3DChart>
        <c:barDir val="col"/>
        <c:grouping val="stacked"/>
        <c:varyColors val="0"/>
        <c:ser>
          <c:idx val="0"/>
          <c:order val="0"/>
          <c:spPr>
            <a:solidFill>
              <a:schemeClr val="tx1">
                <a:lumMod val="65000"/>
                <a:lumOff val="35000"/>
              </a:schemeClr>
            </a:solidFill>
          </c:spPr>
          <c:invertIfNegative val="0"/>
          <c:val>
            <c:numRef>
              <c:f>'Kapitaldienst Jahr 1-11'!$C$29:$M$29</c:f>
              <c:numCache>
                <c:formatCode>#,##0</c:formatCode>
                <c:ptCount val="11"/>
                <c:pt idx="0">
                  <c:v>4020</c:v>
                </c:pt>
                <c:pt idx="1">
                  <c:v>3940</c:v>
                </c:pt>
                <c:pt idx="2">
                  <c:v>3667.25</c:v>
                </c:pt>
                <c:pt idx="3">
                  <c:v>3201.55</c:v>
                </c:pt>
                <c:pt idx="4">
                  <c:v>2731.44</c:v>
                </c:pt>
                <c:pt idx="5">
                  <c:v>2256.6994999999997</c:v>
                </c:pt>
                <c:pt idx="6">
                  <c:v>1777.0969749999999</c:v>
                </c:pt>
                <c:pt idx="7">
                  <c:v>1292.3893237500001</c:v>
                </c:pt>
                <c:pt idx="8">
                  <c:v>802.32128993750007</c:v>
                </c:pt>
                <c:pt idx="9">
                  <c:v>306.62485443437504</c:v>
                </c:pt>
                <c:pt idx="10">
                  <c:v>0</c:v>
                </c:pt>
              </c:numCache>
            </c:numRef>
          </c:val>
        </c:ser>
        <c:ser>
          <c:idx val="1"/>
          <c:order val="1"/>
          <c:spPr>
            <a:solidFill>
              <a:sysClr val="window" lastClr="FFFFFF">
                <a:lumMod val="85000"/>
              </a:sysClr>
            </a:solidFill>
          </c:spPr>
          <c:invertIfNegative val="0"/>
          <c:val>
            <c:numRef>
              <c:f>'Kapitaldienst Jahr 1-11'!$C$30:$M$30</c:f>
              <c:numCache>
                <c:formatCode>#,##0</c:formatCode>
                <c:ptCount val="11"/>
                <c:pt idx="0">
                  <c:v>1600</c:v>
                </c:pt>
                <c:pt idx="1">
                  <c:v>1680</c:v>
                </c:pt>
                <c:pt idx="2">
                  <c:v>14264</c:v>
                </c:pt>
                <c:pt idx="3">
                  <c:v>14352.2</c:v>
                </c:pt>
                <c:pt idx="4">
                  <c:v>14444.81</c:v>
                </c:pt>
                <c:pt idx="5">
                  <c:v>14542.050499999999</c:v>
                </c:pt>
                <c:pt idx="6">
                  <c:v>14644.153025</c:v>
                </c:pt>
                <c:pt idx="7">
                  <c:v>14751.36067625</c:v>
                </c:pt>
                <c:pt idx="8">
                  <c:v>14863.928710062501</c:v>
                </c:pt>
                <c:pt idx="9">
                  <c:v>14857.4970886875</c:v>
                </c:pt>
                <c:pt idx="10">
                  <c:v>0</c:v>
                </c:pt>
              </c:numCache>
            </c:numRef>
          </c:val>
        </c:ser>
        <c:ser>
          <c:idx val="2"/>
          <c:order val="2"/>
          <c:tx>
            <c:strRef>
              <c:f>'Kapitaldienst Jahr 1-11'!$B$27</c:f>
              <c:strCache>
                <c:ptCount val="1"/>
                <c:pt idx="0">
                  <c:v>Zins</c:v>
                </c:pt>
              </c:strCache>
            </c:strRef>
          </c:tx>
          <c:spPr>
            <a:solidFill>
              <a:schemeClr val="tx1">
                <a:lumMod val="65000"/>
                <a:lumOff val="35000"/>
              </a:schemeClr>
            </a:solidFill>
          </c:spPr>
          <c:invertIfNegative val="0"/>
          <c:val>
            <c:numLit>
              <c:formatCode>General</c:formatCode>
              <c:ptCount val="1"/>
              <c:pt idx="0">
                <c:v>1</c:v>
              </c:pt>
            </c:numLit>
          </c:val>
        </c:ser>
        <c:ser>
          <c:idx val="3"/>
          <c:order val="3"/>
          <c:tx>
            <c:strRef>
              <c:f>'Kapitaldienst Jahr 1-11'!$B$28</c:f>
              <c:strCache>
                <c:ptCount val="1"/>
                <c:pt idx="0">
                  <c:v>Tilg.</c:v>
                </c:pt>
              </c:strCache>
            </c:strRef>
          </c:tx>
          <c:spPr>
            <a:solidFill>
              <a:schemeClr val="bg1">
                <a:lumMod val="85000"/>
              </a:schemeClr>
            </a:solidFill>
          </c:spPr>
          <c:invertIfNegative val="0"/>
          <c:val>
            <c:numLit>
              <c:formatCode>General</c:formatCode>
              <c:ptCount val="1"/>
              <c:pt idx="0">
                <c:v>1</c:v>
              </c:pt>
            </c:numLit>
          </c:val>
        </c:ser>
        <c:dLbls>
          <c:showLegendKey val="0"/>
          <c:showVal val="0"/>
          <c:showCatName val="0"/>
          <c:showSerName val="0"/>
          <c:showPercent val="0"/>
          <c:showBubbleSize val="0"/>
        </c:dLbls>
        <c:gapWidth val="150"/>
        <c:shape val="cylinder"/>
        <c:axId val="64676864"/>
        <c:axId val="39123712"/>
        <c:axId val="0"/>
      </c:bar3DChart>
      <c:catAx>
        <c:axId val="64676864"/>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Arial"/>
                <a:ea typeface="Arial"/>
                <a:cs typeface="Arial"/>
              </a:defRPr>
            </a:pPr>
            <a:endParaRPr lang="de-DE"/>
          </a:p>
        </c:txPr>
        <c:crossAx val="39123712"/>
        <c:crosses val="autoZero"/>
        <c:auto val="1"/>
        <c:lblAlgn val="ctr"/>
        <c:lblOffset val="100"/>
        <c:noMultiLvlLbl val="0"/>
      </c:catAx>
      <c:valAx>
        <c:axId val="39123712"/>
        <c:scaling>
          <c:orientation val="minMax"/>
        </c:scaling>
        <c:delete val="0"/>
        <c:axPos val="r"/>
        <c:majorGridlines/>
        <c:numFmt formatCode="#,##0" sourceLinked="1"/>
        <c:majorTickMark val="out"/>
        <c:minorTickMark val="none"/>
        <c:tickLblPos val="nextTo"/>
        <c:txPr>
          <a:bodyPr rot="0" vert="horz"/>
          <a:lstStyle/>
          <a:p>
            <a:pPr>
              <a:defRPr sz="1000" b="0" i="0" u="none" strike="noStrike" baseline="0">
                <a:solidFill>
                  <a:srgbClr val="000000"/>
                </a:solidFill>
                <a:latin typeface="Arial"/>
                <a:ea typeface="Arial"/>
                <a:cs typeface="Arial"/>
              </a:defRPr>
            </a:pPr>
            <a:endParaRPr lang="de-DE"/>
          </a:p>
        </c:txPr>
        <c:crossAx val="64676864"/>
        <c:crosses val="max"/>
        <c:crossBetween val="between"/>
      </c:valAx>
      <c:spPr>
        <a:noFill/>
        <a:ln w="25400">
          <a:noFill/>
        </a:ln>
      </c:spPr>
    </c:plotArea>
    <c:legend>
      <c:legendPos val="r"/>
      <c:legendEntry>
        <c:idx val="0"/>
        <c:txPr>
          <a:bodyPr/>
          <a:lstStyle/>
          <a:p>
            <a:pPr>
              <a:defRPr sz="2400" b="0" i="0" u="none" strike="noStrike" baseline="0">
                <a:solidFill>
                  <a:srgbClr val="000000"/>
                </a:solidFill>
                <a:latin typeface="Arial"/>
                <a:ea typeface="Arial"/>
                <a:cs typeface="Arial"/>
              </a:defRPr>
            </a:pPr>
            <a:endParaRPr lang="de-DE"/>
          </a:p>
        </c:txPr>
      </c:legendEntry>
      <c:legendEntry>
        <c:idx val="1"/>
        <c:txPr>
          <a:bodyPr/>
          <a:lstStyle/>
          <a:p>
            <a:pPr>
              <a:defRPr sz="2400" b="0" i="0" u="none" strike="noStrike" baseline="0">
                <a:solidFill>
                  <a:srgbClr val="000000"/>
                </a:solidFill>
                <a:latin typeface="Arial"/>
                <a:ea typeface="Arial"/>
                <a:cs typeface="Arial"/>
              </a:defRPr>
            </a:pPr>
            <a:endParaRPr lang="de-DE"/>
          </a:p>
        </c:txPr>
      </c:legendEntry>
      <c:legendEntry>
        <c:idx val="2"/>
        <c:delete val="1"/>
      </c:legendEntry>
      <c:legendEntry>
        <c:idx val="3"/>
        <c:delete val="1"/>
      </c:legendEntry>
      <c:layout>
        <c:manualLayout>
          <c:xMode val="edge"/>
          <c:yMode val="edge"/>
          <c:x val="1.3829195687512589E-2"/>
          <c:y val="0.2019076367030414"/>
          <c:w val="0.11687184967713667"/>
          <c:h val="0.14500713262040296"/>
        </c:manualLayout>
      </c:layout>
      <c:overlay val="0"/>
      <c:txPr>
        <a:bodyPr/>
        <a:lstStyle/>
        <a:p>
          <a:pPr>
            <a:defRPr sz="1285" b="0" i="0" u="none" strike="noStrike" baseline="0">
              <a:solidFill>
                <a:srgbClr val="000000"/>
              </a:solidFill>
              <a:latin typeface="Arial"/>
              <a:ea typeface="Arial"/>
              <a:cs typeface="Arial"/>
            </a:defRPr>
          </a:pPr>
          <a:endParaRPr lang="de-DE"/>
        </a:p>
      </c:txPr>
    </c:legend>
    <c:plotVisOnly val="1"/>
    <c:dispBlanksAs val="gap"/>
    <c:showDLblsOverMax val="0"/>
  </c:chart>
  <c:txPr>
    <a:bodyPr/>
    <a:lstStyle/>
    <a:p>
      <a:pPr>
        <a:defRPr sz="1000" b="0" i="0" u="none" strike="noStrike" baseline="0">
          <a:solidFill>
            <a:srgbClr val="000000"/>
          </a:solidFill>
          <a:latin typeface="Arial"/>
          <a:ea typeface="Arial"/>
          <a:cs typeface="Arial"/>
        </a:defRPr>
      </a:pPr>
      <a:endParaRPr lang="de-DE"/>
    </a:p>
  </c:txPr>
  <c:printSettings>
    <c:headerFooter/>
    <c:pageMargins b="0.78740157499999996" l="0.70000000000000062" r="0.70000000000000062" t="0.78740157499999996" header="0.30000000000000032" footer="0.30000000000000032"/>
    <c:pageSetup paperSize="9" orientation="landscape"/>
  </c:printSettings>
</c:chartSpace>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190500</xdr:colOff>
      <xdr:row>36</xdr:row>
      <xdr:rowOff>266700</xdr:rowOff>
    </xdr:from>
    <xdr:to>
      <xdr:col>12</xdr:col>
      <xdr:colOff>685800</xdr:colOff>
      <xdr:row>64</xdr:row>
      <xdr:rowOff>85725</xdr:rowOff>
    </xdr:to>
    <xdr:graphicFrame macro="">
      <xdr:nvGraphicFramePr>
        <xdr:cNvPr id="5429"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209550</xdr:colOff>
          <xdr:row>6</xdr:row>
          <xdr:rowOff>28575</xdr:rowOff>
        </xdr:from>
        <xdr:to>
          <xdr:col>2</xdr:col>
          <xdr:colOff>295275</xdr:colOff>
          <xdr:row>6</xdr:row>
          <xdr:rowOff>180975</xdr:rowOff>
        </xdr:to>
        <xdr:sp macro="" textlink="">
          <xdr:nvSpPr>
            <xdr:cNvPr id="47106" name="Option Button 2" hidden="1">
              <a:extLst>
                <a:ext uri="{63B3BB69-23CF-44E3-9099-C40C66FF867C}">
                  <a14:compatExt spid="_x0000_s4710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Leistungen/ Produkte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514350</xdr:colOff>
          <xdr:row>6</xdr:row>
          <xdr:rowOff>28575</xdr:rowOff>
        </xdr:from>
        <xdr:to>
          <xdr:col>3</xdr:col>
          <xdr:colOff>561975</xdr:colOff>
          <xdr:row>6</xdr:row>
          <xdr:rowOff>180975</xdr:rowOff>
        </xdr:to>
        <xdr:sp macro="" textlink="">
          <xdr:nvSpPr>
            <xdr:cNvPr id="47108" name="Option Button 4" hidden="1">
              <a:extLst>
                <a:ext uri="{63B3BB69-23CF-44E3-9099-C40C66FF867C}">
                  <a14:compatExt spid="_x0000_s4710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Produktiv Beschäftigte</a:t>
              </a:r>
            </a:p>
          </xdr:txBody>
        </xdr:sp>
        <xdr:clientData/>
      </xdr:twoCellAnchor>
    </mc:Choice>
    <mc:Fallback/>
  </mc:AlternateContent>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Klassisch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kfw.de/" TargetMode="External"/><Relationship Id="rId1" Type="http://schemas.openxmlformats.org/officeDocument/2006/relationships/hyperlink" Target="http://www.l-bank.de/"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buergschaftsbank.de/"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9.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2:K47"/>
  <sheetViews>
    <sheetView tabSelected="1" zoomScaleNormal="100" zoomScaleSheetLayoutView="90" workbookViewId="0">
      <selection activeCell="D20" sqref="D20"/>
    </sheetView>
  </sheetViews>
  <sheetFormatPr baseColWidth="10" defaultRowHeight="14.25" x14ac:dyDescent="0.2"/>
  <cols>
    <col min="7" max="7" width="18.25" customWidth="1"/>
  </cols>
  <sheetData>
    <row r="2" spans="1:7" ht="14.25" customHeight="1" x14ac:dyDescent="0.2">
      <c r="A2" s="919" t="s">
        <v>427</v>
      </c>
      <c r="B2" s="919"/>
      <c r="C2" s="919"/>
      <c r="D2" s="919"/>
      <c r="E2" s="919"/>
      <c r="F2" s="919"/>
      <c r="G2" s="919"/>
    </row>
    <row r="3" spans="1:7" x14ac:dyDescent="0.2">
      <c r="A3" s="919"/>
      <c r="B3" s="919"/>
      <c r="C3" s="919"/>
      <c r="D3" s="919"/>
      <c r="E3" s="919"/>
      <c r="F3" s="919"/>
      <c r="G3" s="919"/>
    </row>
    <row r="4" spans="1:7" x14ac:dyDescent="0.2">
      <c r="A4" s="919"/>
      <c r="B4" s="919"/>
      <c r="C4" s="919"/>
      <c r="D4" s="919"/>
      <c r="E4" s="919"/>
      <c r="F4" s="919"/>
      <c r="G4" s="919"/>
    </row>
    <row r="5" spans="1:7" x14ac:dyDescent="0.2">
      <c r="A5" s="919"/>
      <c r="B5" s="919"/>
      <c r="C5" s="919"/>
      <c r="D5" s="919"/>
      <c r="E5" s="919"/>
      <c r="F5" s="919"/>
      <c r="G5" s="919"/>
    </row>
    <row r="6" spans="1:7" x14ac:dyDescent="0.2">
      <c r="A6" s="919"/>
      <c r="B6" s="919"/>
      <c r="C6" s="919"/>
      <c r="D6" s="919"/>
      <c r="E6" s="919"/>
      <c r="F6" s="919"/>
      <c r="G6" s="919"/>
    </row>
    <row r="8" spans="1:7" ht="59.25" x14ac:dyDescent="0.2">
      <c r="D8" s="659"/>
    </row>
    <row r="11" spans="1:7" ht="15" thickBot="1" x14ac:dyDescent="0.25"/>
    <row r="12" spans="1:7" ht="15" thickTop="1" x14ac:dyDescent="0.2">
      <c r="B12" s="660"/>
      <c r="C12" s="661"/>
      <c r="D12" s="661"/>
      <c r="E12" s="661"/>
      <c r="F12" s="662"/>
    </row>
    <row r="13" spans="1:7" x14ac:dyDescent="0.2">
      <c r="B13" s="663"/>
      <c r="C13" s="664"/>
      <c r="D13" s="664"/>
      <c r="E13" s="664"/>
      <c r="F13" s="665"/>
    </row>
    <row r="14" spans="1:7" ht="35.25" x14ac:dyDescent="0.5">
      <c r="B14" s="663"/>
      <c r="C14" s="664"/>
      <c r="D14" s="666" t="s">
        <v>334</v>
      </c>
      <c r="E14" s="664"/>
      <c r="F14" s="665"/>
    </row>
    <row r="15" spans="1:7" x14ac:dyDescent="0.2">
      <c r="B15" s="663"/>
      <c r="C15" s="664"/>
      <c r="D15" s="664"/>
      <c r="E15" s="664"/>
      <c r="F15" s="665"/>
    </row>
    <row r="16" spans="1:7" ht="15" thickBot="1" x14ac:dyDescent="0.25">
      <c r="B16" s="667"/>
      <c r="C16" s="668"/>
      <c r="D16" s="668"/>
      <c r="E16" s="668"/>
      <c r="F16" s="669"/>
    </row>
    <row r="17" spans="1:11" ht="15" thickTop="1" x14ac:dyDescent="0.2"/>
    <row r="18" spans="1:11" ht="15" x14ac:dyDescent="0.25">
      <c r="B18" s="3"/>
      <c r="C18" s="3"/>
      <c r="D18" s="67" t="s">
        <v>328</v>
      </c>
      <c r="E18" s="670"/>
      <c r="F18" s="3"/>
    </row>
    <row r="19" spans="1:11" ht="15" x14ac:dyDescent="0.25">
      <c r="B19" s="3"/>
      <c r="C19" s="3"/>
      <c r="D19" s="67"/>
      <c r="E19" s="670"/>
      <c r="F19" s="3"/>
    </row>
    <row r="20" spans="1:11" ht="15" x14ac:dyDescent="0.25">
      <c r="B20" s="67"/>
      <c r="C20" s="67"/>
      <c r="D20" s="700" t="s">
        <v>356</v>
      </c>
      <c r="E20" s="700"/>
      <c r="F20" s="3"/>
    </row>
    <row r="21" spans="1:11" ht="15" x14ac:dyDescent="0.25">
      <c r="B21" s="67"/>
      <c r="C21" s="67"/>
      <c r="D21" s="700" t="s">
        <v>369</v>
      </c>
      <c r="E21" s="701"/>
      <c r="F21" s="3"/>
    </row>
    <row r="22" spans="1:11" ht="15" x14ac:dyDescent="0.25">
      <c r="B22" s="67"/>
      <c r="C22" s="67"/>
      <c r="D22" s="700" t="s">
        <v>425</v>
      </c>
      <c r="E22" s="701"/>
      <c r="F22" s="3"/>
    </row>
    <row r="23" spans="1:11" ht="15" x14ac:dyDescent="0.25">
      <c r="B23" s="3"/>
      <c r="C23" s="3"/>
      <c r="D23" s="700" t="s">
        <v>370</v>
      </c>
      <c r="E23" s="701"/>
      <c r="F23" s="3"/>
      <c r="I23" s="67"/>
      <c r="J23" s="3"/>
      <c r="K23" s="3"/>
    </row>
    <row r="24" spans="1:11" ht="15" x14ac:dyDescent="0.25">
      <c r="B24" s="67"/>
      <c r="C24" s="67"/>
      <c r="D24" s="700" t="s">
        <v>371</v>
      </c>
      <c r="E24" s="701"/>
      <c r="F24" s="3"/>
      <c r="I24" s="671"/>
      <c r="J24" s="3"/>
      <c r="K24" s="3"/>
    </row>
    <row r="25" spans="1:11" x14ac:dyDescent="0.2">
      <c r="B25" s="67"/>
      <c r="C25" s="67"/>
      <c r="D25" s="67"/>
      <c r="E25" s="67"/>
      <c r="F25" s="3"/>
      <c r="I25" s="671"/>
      <c r="J25" s="3"/>
      <c r="K25" s="3"/>
    </row>
    <row r="26" spans="1:11" x14ac:dyDescent="0.2">
      <c r="B26" s="3"/>
      <c r="C26" s="3"/>
      <c r="D26" s="3"/>
      <c r="E26" s="67"/>
      <c r="F26" s="3"/>
      <c r="I26" s="673"/>
      <c r="J26" s="672"/>
      <c r="K26" s="672"/>
    </row>
    <row r="27" spans="1:11" ht="15" x14ac:dyDescent="0.25">
      <c r="B27" s="670" t="s">
        <v>0</v>
      </c>
      <c r="C27" s="67"/>
      <c r="D27" s="701" t="s">
        <v>426</v>
      </c>
      <c r="E27" s="701"/>
      <c r="F27" s="702"/>
      <c r="I27" s="674"/>
      <c r="J27" s="672"/>
      <c r="K27" s="672"/>
    </row>
    <row r="28" spans="1:11" x14ac:dyDescent="0.2">
      <c r="A28" s="699"/>
      <c r="B28" s="829"/>
      <c r="C28" s="829"/>
      <c r="D28" s="830"/>
      <c r="E28" s="829"/>
      <c r="F28" s="829"/>
      <c r="G28" s="699"/>
    </row>
    <row r="29" spans="1:11" x14ac:dyDescent="0.2">
      <c r="A29" s="699"/>
      <c r="B29" s="829"/>
      <c r="C29" s="829"/>
      <c r="D29" s="829"/>
      <c r="E29" s="829"/>
      <c r="F29" s="829"/>
      <c r="G29" s="699"/>
      <c r="I29" s="67"/>
      <c r="J29" s="3"/>
      <c r="K29" s="3"/>
    </row>
    <row r="30" spans="1:11" x14ac:dyDescent="0.2">
      <c r="A30" s="699"/>
      <c r="B30" s="829"/>
      <c r="C30" s="829"/>
      <c r="D30" s="829"/>
      <c r="E30" s="830"/>
      <c r="F30" s="829"/>
      <c r="G30" s="699"/>
      <c r="I30" s="671"/>
      <c r="J30" s="3"/>
      <c r="K30" s="3"/>
    </row>
    <row r="31" spans="1:11" x14ac:dyDescent="0.2">
      <c r="A31" s="699"/>
      <c r="B31" s="829"/>
      <c r="C31" s="829"/>
      <c r="D31" s="829"/>
      <c r="E31" s="830"/>
      <c r="F31" s="829"/>
      <c r="G31" s="699"/>
      <c r="I31" s="671"/>
      <c r="J31" s="3"/>
      <c r="K31" s="3"/>
    </row>
    <row r="32" spans="1:11" x14ac:dyDescent="0.2">
      <c r="A32" s="699"/>
      <c r="B32" s="830"/>
      <c r="C32" s="830"/>
      <c r="D32" s="831"/>
      <c r="E32" s="831"/>
      <c r="F32" s="832"/>
      <c r="G32" s="699"/>
      <c r="I32" s="673"/>
      <c r="J32" s="672"/>
      <c r="K32" s="672"/>
    </row>
    <row r="33" spans="1:11" x14ac:dyDescent="0.2">
      <c r="A33" s="699"/>
      <c r="B33" s="830"/>
      <c r="C33" s="830"/>
      <c r="D33" s="831"/>
      <c r="E33" s="831"/>
      <c r="F33" s="832"/>
      <c r="G33" s="699"/>
      <c r="I33" s="674"/>
      <c r="J33" s="672"/>
      <c r="K33" s="672"/>
    </row>
    <row r="34" spans="1:11" x14ac:dyDescent="0.2">
      <c r="A34" s="699"/>
      <c r="B34" s="829"/>
      <c r="C34" s="829"/>
      <c r="D34" s="832"/>
      <c r="E34" s="831"/>
      <c r="F34" s="832"/>
      <c r="G34" s="699"/>
    </row>
    <row r="35" spans="1:11" x14ac:dyDescent="0.2">
      <c r="A35" s="699"/>
      <c r="B35" s="829"/>
      <c r="C35" s="829"/>
      <c r="D35" s="832"/>
      <c r="E35" s="832"/>
      <c r="F35" s="832"/>
      <c r="G35" s="699"/>
    </row>
    <row r="36" spans="1:11" x14ac:dyDescent="0.2">
      <c r="A36" s="699"/>
      <c r="B36" s="830"/>
      <c r="C36" s="830"/>
      <c r="D36" s="831"/>
      <c r="E36" s="832"/>
      <c r="F36" s="832"/>
      <c r="G36" s="699"/>
      <c r="I36" s="67"/>
      <c r="J36" s="3"/>
      <c r="K36" s="3"/>
    </row>
    <row r="37" spans="1:11" x14ac:dyDescent="0.2">
      <c r="A37" s="699"/>
      <c r="B37" s="830"/>
      <c r="C37" s="830"/>
      <c r="D37" s="831"/>
      <c r="E37" s="832"/>
      <c r="F37" s="832"/>
      <c r="G37" s="699"/>
      <c r="I37" s="671"/>
      <c r="J37" s="3"/>
      <c r="K37" s="3"/>
    </row>
    <row r="38" spans="1:11" x14ac:dyDescent="0.2">
      <c r="A38" s="699"/>
      <c r="B38" s="830"/>
      <c r="C38" s="830"/>
      <c r="D38" s="831"/>
      <c r="E38" s="832"/>
      <c r="F38" s="832"/>
      <c r="G38" s="699"/>
      <c r="I38" s="671"/>
      <c r="J38" s="3"/>
      <c r="K38" s="3"/>
    </row>
    <row r="39" spans="1:11" x14ac:dyDescent="0.2">
      <c r="A39" s="699"/>
      <c r="B39" s="830"/>
      <c r="C39" s="830"/>
      <c r="D39" s="833"/>
      <c r="E39" s="834"/>
      <c r="F39" s="834"/>
      <c r="G39" s="699"/>
      <c r="I39" s="673"/>
      <c r="J39" s="672"/>
      <c r="K39" s="672"/>
    </row>
    <row r="40" spans="1:11" ht="15" x14ac:dyDescent="0.2">
      <c r="A40" s="699"/>
      <c r="B40" s="835"/>
      <c r="C40" s="835"/>
      <c r="D40" s="836"/>
      <c r="E40" s="834"/>
      <c r="F40" s="834"/>
      <c r="G40" s="699"/>
      <c r="I40" s="674"/>
      <c r="J40" s="672"/>
      <c r="K40" s="672"/>
    </row>
    <row r="41" spans="1:11" ht="35.25" customHeight="1" x14ac:dyDescent="0.2">
      <c r="A41" s="699"/>
      <c r="B41" s="699"/>
      <c r="C41" s="699"/>
      <c r="D41" s="699"/>
      <c r="E41" s="699"/>
      <c r="F41" s="699"/>
      <c r="G41" s="699"/>
    </row>
    <row r="42" spans="1:11" x14ac:dyDescent="0.2">
      <c r="A42" s="837"/>
      <c r="B42" s="838"/>
      <c r="C42" s="838"/>
      <c r="D42" s="838"/>
      <c r="E42" s="838"/>
      <c r="F42" s="838"/>
      <c r="G42" s="838"/>
    </row>
    <row r="43" spans="1:11" x14ac:dyDescent="0.2">
      <c r="A43" s="838"/>
      <c r="B43" s="838"/>
      <c r="C43" s="838"/>
      <c r="D43" s="838"/>
      <c r="E43" s="838"/>
      <c r="F43" s="838"/>
      <c r="G43" s="838"/>
    </row>
    <row r="44" spans="1:11" x14ac:dyDescent="0.2">
      <c r="A44" s="838"/>
      <c r="B44" s="838"/>
      <c r="C44" s="838"/>
      <c r="D44" s="838"/>
      <c r="E44" s="838"/>
      <c r="F44" s="838"/>
      <c r="G44" s="838"/>
    </row>
    <row r="45" spans="1:11" x14ac:dyDescent="0.2">
      <c r="A45" s="838"/>
      <c r="B45" s="838"/>
      <c r="C45" s="838"/>
      <c r="D45" s="838"/>
      <c r="E45" s="838"/>
      <c r="F45" s="838"/>
      <c r="G45" s="838"/>
    </row>
    <row r="46" spans="1:11" x14ac:dyDescent="0.2">
      <c r="A46" s="838"/>
      <c r="B46" s="838"/>
      <c r="C46" s="838"/>
      <c r="D46" s="838"/>
      <c r="E46" s="838"/>
      <c r="F46" s="838"/>
      <c r="G46" s="838"/>
    </row>
    <row r="47" spans="1:11" ht="45.75" customHeight="1" x14ac:dyDescent="0.2">
      <c r="A47" s="838"/>
      <c r="B47" s="838"/>
      <c r="C47" s="838"/>
      <c r="D47" s="838"/>
      <c r="E47" s="838"/>
      <c r="F47" s="838"/>
      <c r="G47" s="838"/>
    </row>
  </sheetData>
  <sheetProtection password="C12A" sheet="1" objects="1" scenarios="1" selectLockedCells="1"/>
  <protectedRanges>
    <protectedRange sqref="D20:E24 D27:F27 D32:F34 D36:F40" name="Bereich1"/>
  </protectedRanges>
  <mergeCells count="1">
    <mergeCell ref="A2:G6"/>
  </mergeCells>
  <pageMargins left="0.70866141732283472" right="0.35433070866141736" top="0.78740157480314965" bottom="0.19685039370078741" header="0.31496062992125984" footer="0.15748031496062992"/>
  <pageSetup paperSize="9" scale="98" orientation="portrait" r:id="rId1"/>
  <headerFooter>
    <oddFooter>&amp;R&amp;6Stand: 18.03.2014</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S61"/>
  <sheetViews>
    <sheetView zoomScaleNormal="100" zoomScaleSheetLayoutView="100" workbookViewId="0">
      <selection activeCell="C12" sqref="C12"/>
    </sheetView>
  </sheetViews>
  <sheetFormatPr baseColWidth="10" defaultRowHeight="14.25" x14ac:dyDescent="0.2"/>
  <cols>
    <col min="1" max="1" width="16" customWidth="1"/>
    <col min="2" max="2" width="18.375" customWidth="1"/>
    <col min="3" max="3" width="16" customWidth="1"/>
    <col min="4" max="4" width="15.125" customWidth="1"/>
    <col min="5" max="5" width="14.75" customWidth="1"/>
    <col min="6" max="6" width="14.125" customWidth="1"/>
  </cols>
  <sheetData>
    <row r="1" spans="1:19" ht="14.25" customHeight="1" x14ac:dyDescent="0.2">
      <c r="A1" s="970" t="s">
        <v>421</v>
      </c>
      <c r="B1" s="970"/>
      <c r="C1" s="970"/>
      <c r="D1" s="970"/>
      <c r="E1" s="970"/>
      <c r="F1" s="970"/>
      <c r="G1" s="68"/>
      <c r="H1" s="68"/>
      <c r="I1" s="68"/>
      <c r="J1" s="68"/>
      <c r="K1" s="68"/>
      <c r="L1" s="68"/>
      <c r="M1" s="68"/>
      <c r="N1" s="68"/>
      <c r="O1" s="68"/>
      <c r="P1" s="68"/>
      <c r="Q1" s="68"/>
      <c r="R1" s="68"/>
      <c r="S1" s="68"/>
    </row>
    <row r="2" spans="1:19" ht="14.25" customHeight="1" x14ac:dyDescent="0.2">
      <c r="A2" s="970"/>
      <c r="B2" s="970"/>
      <c r="C2" s="970"/>
      <c r="D2" s="970"/>
      <c r="E2" s="970"/>
      <c r="F2" s="970"/>
      <c r="G2" s="68"/>
      <c r="H2" s="68"/>
      <c r="I2" s="68"/>
      <c r="J2" s="68"/>
      <c r="K2" s="68"/>
      <c r="L2" s="68"/>
      <c r="M2" s="68"/>
      <c r="N2" s="68"/>
      <c r="O2" s="68"/>
      <c r="P2" s="68"/>
      <c r="Q2" s="68"/>
      <c r="R2" s="68"/>
      <c r="S2" s="68"/>
    </row>
    <row r="3" spans="1:19" ht="15" x14ac:dyDescent="0.2">
      <c r="A3" s="108"/>
      <c r="B3" s="109"/>
      <c r="C3" s="109"/>
      <c r="D3" s="109"/>
      <c r="E3" s="109"/>
      <c r="F3" s="109"/>
      <c r="G3" s="68"/>
      <c r="H3" s="68"/>
      <c r="I3" s="68"/>
      <c r="J3" s="68"/>
      <c r="K3" s="68"/>
      <c r="L3" s="68"/>
      <c r="M3" s="68"/>
      <c r="N3" s="68"/>
      <c r="O3" s="68"/>
      <c r="P3" s="68"/>
      <c r="Q3" s="68"/>
      <c r="R3" s="68"/>
      <c r="S3" s="68"/>
    </row>
    <row r="4" spans="1:19" ht="15.75" thickBot="1" x14ac:dyDescent="0.25">
      <c r="A4" s="159"/>
      <c r="B4" s="159"/>
      <c r="C4" s="159"/>
      <c r="D4" s="159"/>
      <c r="E4" s="159"/>
      <c r="F4" s="159"/>
      <c r="G4" s="68"/>
      <c r="H4" s="68"/>
      <c r="I4" s="68"/>
      <c r="J4" s="68"/>
      <c r="K4" s="68"/>
      <c r="L4" s="68"/>
      <c r="M4" s="68"/>
      <c r="N4" s="68"/>
      <c r="O4" s="68"/>
      <c r="P4" s="68"/>
      <c r="Q4" s="68"/>
      <c r="R4" s="68"/>
      <c r="S4" s="68"/>
    </row>
    <row r="5" spans="1:19" ht="16.5" thickBot="1" x14ac:dyDescent="0.25">
      <c r="A5" s="395" t="s">
        <v>268</v>
      </c>
      <c r="B5" s="396"/>
      <c r="C5" s="397">
        <f>Rentabilitätsvorschau!C20</f>
        <v>200000</v>
      </c>
      <c r="D5" s="398" t="s">
        <v>249</v>
      </c>
      <c r="E5" s="398" t="s">
        <v>269</v>
      </c>
      <c r="F5" s="399" t="s">
        <v>100</v>
      </c>
      <c r="G5" s="68"/>
      <c r="H5" s="68"/>
      <c r="I5" s="68"/>
      <c r="J5" s="68"/>
      <c r="K5" s="68"/>
      <c r="L5" s="68"/>
      <c r="M5" s="68"/>
      <c r="N5" s="68"/>
      <c r="O5" s="68"/>
      <c r="P5" s="68"/>
      <c r="Q5" s="68"/>
      <c r="R5" s="68"/>
      <c r="S5" s="68"/>
    </row>
    <row r="6" spans="1:19" ht="15" x14ac:dyDescent="0.2">
      <c r="A6" s="164"/>
      <c r="B6" s="164"/>
      <c r="C6" s="164"/>
      <c r="D6" s="164"/>
      <c r="E6" s="164"/>
      <c r="F6" s="164"/>
      <c r="G6" s="68"/>
      <c r="H6" s="68"/>
      <c r="I6" s="68"/>
      <c r="J6" s="68"/>
      <c r="K6" s="68"/>
      <c r="L6" s="68"/>
      <c r="M6" s="68"/>
      <c r="N6" s="68"/>
      <c r="O6" s="68"/>
      <c r="P6" s="68"/>
      <c r="Q6" s="68"/>
      <c r="R6" s="68"/>
      <c r="S6" s="68"/>
    </row>
    <row r="7" spans="1:19" ht="15" x14ac:dyDescent="0.2">
      <c r="A7" s="164" t="s">
        <v>419</v>
      </c>
      <c r="B7" s="159"/>
      <c r="C7" s="159"/>
      <c r="D7" s="159"/>
      <c r="E7" s="657">
        <f>Rentabilitätsvorschau!O14</f>
        <v>0.34920634920634919</v>
      </c>
      <c r="F7" s="406">
        <f>$C$5*E7</f>
        <v>69841.269841269837</v>
      </c>
      <c r="G7" s="68"/>
      <c r="H7" s="68"/>
      <c r="I7" s="68"/>
      <c r="J7" s="68"/>
      <c r="K7" s="68"/>
      <c r="L7" s="68"/>
      <c r="M7" s="68"/>
      <c r="N7" s="68"/>
      <c r="O7" s="68"/>
      <c r="P7" s="68"/>
      <c r="Q7" s="68"/>
      <c r="R7" s="68"/>
      <c r="S7" s="68"/>
    </row>
    <row r="8" spans="1:19" ht="15" x14ac:dyDescent="0.2">
      <c r="A8" s="164" t="s">
        <v>420</v>
      </c>
      <c r="B8" s="159"/>
      <c r="C8" s="159"/>
      <c r="D8" s="159"/>
      <c r="E8" s="657">
        <f>Rentabilitätsvorschau!O17</f>
        <v>0.22486772486772486</v>
      </c>
      <c r="F8" s="406">
        <f>$C$5*E8</f>
        <v>44973.544973544973</v>
      </c>
      <c r="G8" s="68"/>
      <c r="H8" s="68"/>
      <c r="I8" s="68"/>
      <c r="J8" s="68"/>
      <c r="K8" s="68"/>
      <c r="L8" s="68"/>
      <c r="M8" s="68"/>
      <c r="N8" s="68"/>
      <c r="O8" s="68"/>
      <c r="P8" s="68"/>
      <c r="Q8" s="68"/>
      <c r="R8" s="68"/>
      <c r="S8" s="68"/>
    </row>
    <row r="9" spans="1:19" ht="15.75" thickBot="1" x14ac:dyDescent="0.25">
      <c r="A9" s="400" t="s">
        <v>422</v>
      </c>
      <c r="B9" s="401"/>
      <c r="C9" s="401"/>
      <c r="D9" s="401"/>
      <c r="E9" s="658">
        <f>Rentabilitätsvorschau!O20</f>
        <v>0.17726455026455026</v>
      </c>
      <c r="F9" s="402">
        <f>$C$5*E9</f>
        <v>35452.910052910054</v>
      </c>
      <c r="G9" s="68"/>
      <c r="H9" s="68"/>
      <c r="I9" s="68"/>
      <c r="J9" s="68"/>
      <c r="K9" s="68"/>
      <c r="L9" s="68"/>
      <c r="M9" s="68"/>
      <c r="N9" s="68"/>
      <c r="O9" s="68"/>
      <c r="P9" s="68"/>
      <c r="Q9" s="68"/>
      <c r="R9" s="68"/>
      <c r="S9" s="68"/>
    </row>
    <row r="10" spans="1:19" ht="15" x14ac:dyDescent="0.2">
      <c r="A10" s="164" t="s">
        <v>259</v>
      </c>
      <c r="B10" s="159"/>
      <c r="C10" s="159"/>
      <c r="D10" s="159"/>
      <c r="E10" s="275">
        <f>SUM(E7:E9)</f>
        <v>0.75133862433862431</v>
      </c>
      <c r="F10" s="190">
        <f>SUM(F7:F9)</f>
        <v>150267.72486772487</v>
      </c>
      <c r="G10" s="68"/>
      <c r="H10" s="68"/>
      <c r="I10" s="68"/>
      <c r="J10" s="68"/>
      <c r="K10" s="68"/>
      <c r="L10" s="68"/>
      <c r="M10" s="68"/>
      <c r="N10" s="68"/>
      <c r="O10" s="68"/>
      <c r="P10" s="68"/>
      <c r="Q10" s="68"/>
      <c r="R10" s="68"/>
      <c r="S10" s="68"/>
    </row>
    <row r="11" spans="1:19" ht="15" x14ac:dyDescent="0.2">
      <c r="A11" s="159"/>
      <c r="B11" s="159"/>
      <c r="C11" s="159"/>
      <c r="D11" s="159"/>
      <c r="E11" s="159"/>
      <c r="F11" s="159"/>
      <c r="G11" s="68"/>
      <c r="H11" s="68"/>
      <c r="I11" s="68"/>
      <c r="J11" s="68"/>
      <c r="K11" s="68"/>
      <c r="L11" s="68"/>
      <c r="M11" s="68"/>
      <c r="N11" s="68"/>
      <c r="O11" s="68"/>
      <c r="P11" s="68"/>
      <c r="Q11" s="68"/>
      <c r="R11" s="68"/>
      <c r="S11" s="68"/>
    </row>
    <row r="12" spans="1:19" ht="15" x14ac:dyDescent="0.2">
      <c r="A12" s="164" t="s">
        <v>271</v>
      </c>
      <c r="B12" s="159"/>
      <c r="C12" s="705">
        <v>250</v>
      </c>
      <c r="D12" s="159" t="s">
        <v>272</v>
      </c>
      <c r="E12" s="190">
        <f>ROUND(F10/C12,-2)</f>
        <v>600</v>
      </c>
      <c r="F12" s="164" t="s">
        <v>273</v>
      </c>
      <c r="G12" s="68"/>
      <c r="H12" s="68"/>
      <c r="I12" s="68"/>
      <c r="J12" s="68"/>
      <c r="K12" s="68"/>
      <c r="L12" s="68"/>
      <c r="M12" s="68"/>
      <c r="N12" s="68"/>
      <c r="O12" s="68"/>
      <c r="P12" s="68"/>
      <c r="Q12" s="68"/>
      <c r="R12" s="68"/>
      <c r="S12" s="68"/>
    </row>
    <row r="13" spans="1:19" ht="15" x14ac:dyDescent="0.2">
      <c r="A13" s="164"/>
      <c r="B13" s="159"/>
      <c r="C13" s="159"/>
      <c r="D13" s="159"/>
      <c r="E13" s="159"/>
      <c r="F13" s="234"/>
      <c r="G13" s="68"/>
      <c r="H13" s="68"/>
      <c r="I13" s="68"/>
      <c r="J13" s="68"/>
      <c r="K13" s="68"/>
      <c r="L13" s="68"/>
      <c r="M13" s="68"/>
      <c r="N13" s="68"/>
      <c r="O13" s="68"/>
      <c r="P13" s="68"/>
      <c r="Q13" s="68"/>
      <c r="R13" s="68"/>
      <c r="S13" s="68"/>
    </row>
    <row r="14" spans="1:19" ht="15.75" thickBot="1" x14ac:dyDescent="0.25">
      <c r="A14" s="159"/>
      <c r="B14" s="159"/>
      <c r="C14" s="159"/>
      <c r="D14" s="159"/>
      <c r="E14" s="159"/>
      <c r="F14" s="159"/>
      <c r="G14" s="68"/>
      <c r="H14" s="68"/>
      <c r="I14" s="68"/>
      <c r="J14" s="68"/>
      <c r="K14" s="68"/>
      <c r="L14" s="68"/>
      <c r="M14" s="68"/>
      <c r="N14" s="68"/>
      <c r="O14" s="68"/>
      <c r="P14" s="68"/>
      <c r="Q14" s="68"/>
      <c r="R14" s="68"/>
      <c r="S14" s="68"/>
    </row>
    <row r="15" spans="1:19" ht="15.75" thickBot="1" x14ac:dyDescent="0.25">
      <c r="A15" s="403"/>
      <c r="B15" s="396"/>
      <c r="C15" s="396"/>
      <c r="D15" s="396"/>
      <c r="E15" s="404" t="s">
        <v>274</v>
      </c>
      <c r="F15" s="405" t="s">
        <v>275</v>
      </c>
      <c r="G15" s="68"/>
      <c r="H15" s="68"/>
      <c r="I15" s="68"/>
      <c r="J15" s="68"/>
      <c r="K15" s="68"/>
      <c r="L15" s="68"/>
      <c r="M15" s="68"/>
      <c r="N15" s="68"/>
      <c r="O15" s="68"/>
      <c r="P15" s="68"/>
      <c r="Q15" s="68"/>
      <c r="R15" s="68"/>
      <c r="S15" s="68"/>
    </row>
    <row r="16" spans="1:19" ht="15" x14ac:dyDescent="0.2">
      <c r="A16" s="164"/>
      <c r="B16" s="164"/>
      <c r="C16" s="164"/>
      <c r="D16" s="164"/>
      <c r="E16" s="164"/>
      <c r="F16" s="164"/>
      <c r="G16" s="68"/>
      <c r="H16" s="68"/>
      <c r="I16" s="68"/>
      <c r="J16" s="68"/>
      <c r="K16" s="68"/>
      <c r="L16" s="68"/>
      <c r="M16" s="68"/>
      <c r="N16" s="68"/>
      <c r="O16" s="68"/>
      <c r="P16" s="68"/>
      <c r="Q16" s="68"/>
      <c r="R16" s="68"/>
      <c r="S16" s="68"/>
    </row>
    <row r="17" spans="1:19" ht="15" x14ac:dyDescent="0.2">
      <c r="A17" s="164" t="s">
        <v>276</v>
      </c>
      <c r="B17" s="159"/>
      <c r="C17" s="159"/>
      <c r="D17" s="159"/>
      <c r="E17" s="706">
        <v>5</v>
      </c>
      <c r="F17" s="406">
        <f>ROUND(E17*$E$12,-3)</f>
        <v>3000</v>
      </c>
      <c r="G17" s="68"/>
      <c r="H17" s="68"/>
      <c r="I17" s="68"/>
      <c r="J17" s="68"/>
      <c r="K17" s="68"/>
      <c r="L17" s="68"/>
      <c r="M17" s="68"/>
      <c r="N17" s="68"/>
      <c r="O17" s="68"/>
      <c r="P17" s="68"/>
      <c r="Q17" s="68"/>
      <c r="R17" s="68"/>
      <c r="S17" s="68"/>
    </row>
    <row r="18" spans="1:19" ht="15" x14ac:dyDescent="0.2">
      <c r="A18" s="164" t="s">
        <v>277</v>
      </c>
      <c r="B18" s="159"/>
      <c r="C18" s="159"/>
      <c r="D18" s="159"/>
      <c r="E18" s="706">
        <v>5</v>
      </c>
      <c r="F18" s="406">
        <f>ROUND(E18*E12,-3)</f>
        <v>3000</v>
      </c>
      <c r="G18" s="68"/>
      <c r="H18" s="68"/>
      <c r="I18" s="68"/>
      <c r="J18" s="68"/>
      <c r="K18" s="68"/>
      <c r="L18" s="68"/>
      <c r="M18" s="68"/>
      <c r="N18" s="68"/>
      <c r="O18" s="68"/>
      <c r="P18" s="68"/>
      <c r="Q18" s="68"/>
      <c r="R18" s="68"/>
      <c r="S18" s="68"/>
    </row>
    <row r="19" spans="1:19" ht="15" x14ac:dyDescent="0.2">
      <c r="A19" s="164" t="s">
        <v>278</v>
      </c>
      <c r="B19" s="159"/>
      <c r="C19" s="159"/>
      <c r="D19" s="159"/>
      <c r="E19" s="706">
        <v>25</v>
      </c>
      <c r="F19" s="406">
        <f>ROUND(E19*E12,-3)</f>
        <v>15000</v>
      </c>
      <c r="G19" s="68"/>
      <c r="H19" s="68"/>
      <c r="I19" s="68"/>
      <c r="J19" s="68"/>
      <c r="K19" s="68"/>
      <c r="L19" s="68"/>
      <c r="M19" s="68"/>
      <c r="N19" s="68"/>
      <c r="O19" s="68"/>
      <c r="P19" s="68"/>
      <c r="Q19" s="68"/>
      <c r="R19" s="68"/>
      <c r="S19" s="68"/>
    </row>
    <row r="20" spans="1:19" ht="15" x14ac:dyDescent="0.2">
      <c r="A20" s="164" t="s">
        <v>279</v>
      </c>
      <c r="B20" s="159"/>
      <c r="C20" s="159"/>
      <c r="D20" s="159"/>
      <c r="E20" s="706"/>
      <c r="F20" s="918">
        <f>Mindestumsatz!D15/12*3</f>
        <v>10204</v>
      </c>
      <c r="G20" s="68"/>
      <c r="H20" s="68"/>
      <c r="I20" s="68"/>
      <c r="J20" s="68"/>
      <c r="K20" s="68"/>
      <c r="L20" s="68"/>
      <c r="M20" s="68"/>
      <c r="N20" s="68"/>
      <c r="O20" s="68"/>
      <c r="P20" s="68"/>
      <c r="Q20" s="68"/>
      <c r="R20" s="68"/>
      <c r="S20" s="68"/>
    </row>
    <row r="21" spans="1:19" ht="15" x14ac:dyDescent="0.2">
      <c r="A21" s="207" t="s">
        <v>280</v>
      </c>
      <c r="B21" s="162"/>
      <c r="C21" s="162"/>
      <c r="D21" s="162"/>
      <c r="E21" s="706"/>
      <c r="F21" s="780">
        <v>0</v>
      </c>
      <c r="G21" s="68"/>
      <c r="H21" s="68"/>
      <c r="I21" s="68"/>
      <c r="J21" s="68"/>
      <c r="K21" s="68"/>
      <c r="L21" s="68"/>
      <c r="M21" s="68"/>
      <c r="N21" s="68"/>
      <c r="O21" s="68"/>
      <c r="P21" s="68"/>
      <c r="Q21" s="68"/>
      <c r="R21" s="68"/>
      <c r="S21" s="68"/>
    </row>
    <row r="22" spans="1:19" ht="15.75" x14ac:dyDescent="0.2">
      <c r="A22" s="165" t="s">
        <v>281</v>
      </c>
      <c r="B22" s="166"/>
      <c r="C22" s="166"/>
      <c r="D22" s="166"/>
      <c r="E22" s="166"/>
      <c r="F22" s="237">
        <f>SUM(F17:F21)</f>
        <v>31204</v>
      </c>
      <c r="G22" s="68"/>
      <c r="H22" s="68"/>
      <c r="I22" s="68"/>
      <c r="J22" s="68"/>
      <c r="K22" s="68"/>
      <c r="L22" s="68"/>
      <c r="M22" s="68"/>
      <c r="N22" s="68"/>
      <c r="O22" s="68"/>
      <c r="P22" s="68"/>
      <c r="Q22" s="68"/>
      <c r="R22" s="68"/>
      <c r="S22" s="68"/>
    </row>
    <row r="23" spans="1:19" ht="15" x14ac:dyDescent="0.2">
      <c r="A23" s="699"/>
      <c r="B23" s="159"/>
      <c r="C23" s="159"/>
      <c r="D23" s="159"/>
      <c r="E23" s="159"/>
      <c r="F23" s="159"/>
      <c r="G23" s="68"/>
      <c r="H23" s="68"/>
      <c r="I23" s="68"/>
      <c r="J23" s="68"/>
      <c r="K23" s="68"/>
      <c r="L23" s="68"/>
      <c r="M23" s="68"/>
      <c r="N23" s="68"/>
      <c r="O23" s="68"/>
      <c r="P23" s="68"/>
      <c r="Q23" s="68"/>
      <c r="R23" s="68"/>
      <c r="S23" s="68"/>
    </row>
    <row r="24" spans="1:19" ht="15" x14ac:dyDescent="0.2">
      <c r="A24" s="164" t="s">
        <v>340</v>
      </c>
      <c r="B24" s="26"/>
      <c r="C24" s="26"/>
      <c r="D24" s="26"/>
      <c r="E24" s="26"/>
      <c r="F24" s="406"/>
      <c r="G24" s="68"/>
      <c r="H24" s="68"/>
      <c r="I24" s="68"/>
      <c r="J24" s="68"/>
      <c r="K24" s="68"/>
      <c r="L24" s="68"/>
      <c r="M24" s="68"/>
      <c r="N24" s="68"/>
      <c r="O24" s="68"/>
      <c r="P24" s="68"/>
      <c r="Q24" s="68"/>
      <c r="R24" s="68"/>
      <c r="S24" s="68"/>
    </row>
    <row r="25" spans="1:19" ht="15" x14ac:dyDescent="0.2">
      <c r="A25" s="207" t="s">
        <v>423</v>
      </c>
      <c r="B25" s="162"/>
      <c r="C25" s="162"/>
      <c r="D25" s="162"/>
      <c r="E25" s="162"/>
      <c r="F25" s="780">
        <v>0</v>
      </c>
      <c r="G25" s="68"/>
      <c r="H25" s="68"/>
      <c r="I25" s="68"/>
      <c r="J25" s="68"/>
      <c r="K25" s="68"/>
      <c r="L25" s="68"/>
      <c r="M25" s="68"/>
      <c r="N25" s="68"/>
      <c r="O25" s="68"/>
      <c r="P25" s="68"/>
      <c r="Q25" s="68"/>
      <c r="R25" s="68"/>
      <c r="S25" s="68"/>
    </row>
    <row r="26" spans="1:19" ht="15.75" x14ac:dyDescent="0.2">
      <c r="A26" s="165" t="s">
        <v>282</v>
      </c>
      <c r="B26" s="166"/>
      <c r="C26" s="166"/>
      <c r="D26" s="166"/>
      <c r="E26" s="166"/>
      <c r="F26" s="684">
        <f>F22-F25</f>
        <v>31204</v>
      </c>
      <c r="G26" s="68"/>
      <c r="H26" s="68"/>
      <c r="I26" s="68"/>
      <c r="J26" s="68"/>
      <c r="K26" s="68"/>
      <c r="L26" s="68"/>
      <c r="M26" s="68"/>
      <c r="N26" s="68"/>
      <c r="O26" s="68"/>
      <c r="P26" s="68"/>
      <c r="Q26" s="68"/>
      <c r="R26" s="68"/>
      <c r="S26" s="68"/>
    </row>
    <row r="27" spans="1:19" x14ac:dyDescent="0.2">
      <c r="A27" s="68"/>
      <c r="B27" s="68"/>
      <c r="C27" s="68"/>
      <c r="D27" s="68"/>
      <c r="E27" s="68"/>
      <c r="F27" s="68"/>
      <c r="G27" s="68"/>
      <c r="H27" s="68"/>
      <c r="I27" s="68"/>
      <c r="J27" s="68"/>
      <c r="K27" s="68"/>
      <c r="L27" s="68"/>
      <c r="M27" s="68"/>
      <c r="N27" s="68"/>
      <c r="O27" s="68"/>
      <c r="P27" s="68"/>
      <c r="Q27" s="68"/>
      <c r="R27" s="68"/>
      <c r="S27" s="68"/>
    </row>
    <row r="28" spans="1:19" x14ac:dyDescent="0.2">
      <c r="A28" s="68"/>
      <c r="B28" s="68"/>
      <c r="C28" s="68"/>
      <c r="D28" s="68"/>
      <c r="E28" s="68"/>
      <c r="F28" s="68"/>
      <c r="G28" s="68"/>
      <c r="H28" s="68"/>
      <c r="I28" s="68"/>
      <c r="J28" s="68"/>
      <c r="K28" s="68"/>
      <c r="L28" s="68"/>
      <c r="M28" s="68"/>
      <c r="N28" s="68"/>
      <c r="O28" s="68"/>
      <c r="P28" s="68"/>
      <c r="Q28" s="68"/>
      <c r="R28" s="68"/>
      <c r="S28" s="68"/>
    </row>
    <row r="29" spans="1:19" x14ac:dyDescent="0.2">
      <c r="A29" s="68"/>
      <c r="B29" s="68"/>
      <c r="C29" s="68"/>
      <c r="D29" s="68"/>
      <c r="E29" s="68"/>
      <c r="F29" s="68"/>
      <c r="G29" s="68"/>
      <c r="H29" s="68"/>
      <c r="I29" s="68"/>
      <c r="J29" s="68"/>
      <c r="K29" s="68"/>
      <c r="L29" s="68"/>
      <c r="M29" s="68"/>
      <c r="N29" s="68"/>
      <c r="O29" s="68"/>
      <c r="P29" s="68"/>
      <c r="Q29" s="68"/>
      <c r="R29" s="68"/>
      <c r="S29" s="68"/>
    </row>
    <row r="30" spans="1:19" x14ac:dyDescent="0.2">
      <c r="A30" s="68"/>
      <c r="B30" s="68"/>
      <c r="C30" s="68"/>
      <c r="D30" s="68"/>
      <c r="E30" s="68"/>
      <c r="F30" s="68"/>
      <c r="G30" s="68"/>
      <c r="H30" s="68"/>
      <c r="I30" s="68"/>
      <c r="J30" s="68"/>
      <c r="K30" s="68"/>
      <c r="L30" s="68"/>
      <c r="M30" s="68"/>
      <c r="N30" s="68"/>
      <c r="O30" s="68"/>
      <c r="P30" s="68"/>
      <c r="Q30" s="68"/>
      <c r="R30" s="68"/>
      <c r="S30" s="68"/>
    </row>
    <row r="31" spans="1:19" x14ac:dyDescent="0.2">
      <c r="A31" s="68"/>
      <c r="B31" s="68"/>
      <c r="C31" s="68"/>
      <c r="D31" s="68"/>
      <c r="E31" s="68"/>
      <c r="F31" s="68"/>
      <c r="G31" s="68"/>
      <c r="H31" s="68"/>
      <c r="I31" s="68"/>
      <c r="J31" s="68"/>
      <c r="K31" s="68"/>
      <c r="L31" s="68"/>
      <c r="M31" s="68"/>
      <c r="N31" s="68"/>
      <c r="O31" s="68"/>
      <c r="P31" s="68"/>
      <c r="Q31" s="68"/>
      <c r="R31" s="68"/>
      <c r="S31" s="68"/>
    </row>
    <row r="32" spans="1:19" x14ac:dyDescent="0.2">
      <c r="A32" s="68"/>
      <c r="B32" s="68"/>
      <c r="C32" s="68"/>
      <c r="D32" s="68"/>
      <c r="E32" s="68"/>
      <c r="F32" s="68"/>
      <c r="G32" s="68"/>
      <c r="H32" s="68"/>
      <c r="I32" s="68"/>
      <c r="J32" s="68"/>
      <c r="K32" s="68"/>
      <c r="L32" s="68"/>
      <c r="M32" s="68"/>
      <c r="N32" s="68"/>
      <c r="O32" s="68"/>
      <c r="P32" s="68"/>
      <c r="Q32" s="68"/>
      <c r="R32" s="68"/>
      <c r="S32" s="68"/>
    </row>
    <row r="33" spans="1:19" x14ac:dyDescent="0.2">
      <c r="A33" s="68"/>
      <c r="B33" s="68"/>
      <c r="C33" s="68"/>
      <c r="D33" s="68"/>
      <c r="E33" s="68"/>
      <c r="F33" s="68"/>
      <c r="G33" s="68"/>
      <c r="H33" s="68"/>
      <c r="I33" s="68"/>
      <c r="J33" s="68"/>
      <c r="K33" s="68"/>
      <c r="L33" s="68"/>
      <c r="M33" s="68"/>
      <c r="N33" s="68"/>
      <c r="O33" s="68"/>
      <c r="P33" s="68"/>
      <c r="Q33" s="68"/>
      <c r="R33" s="68"/>
      <c r="S33" s="68"/>
    </row>
    <row r="34" spans="1:19" x14ac:dyDescent="0.2">
      <c r="A34" s="68"/>
      <c r="B34" s="68"/>
      <c r="C34" s="68"/>
      <c r="D34" s="68"/>
      <c r="E34" s="68"/>
      <c r="F34" s="68"/>
      <c r="G34" s="68"/>
      <c r="H34" s="68"/>
      <c r="I34" s="68"/>
      <c r="J34" s="68"/>
      <c r="K34" s="68"/>
      <c r="L34" s="68"/>
      <c r="M34" s="68"/>
      <c r="N34" s="68"/>
      <c r="O34" s="68"/>
      <c r="P34" s="68"/>
      <c r="Q34" s="68"/>
      <c r="R34" s="68"/>
      <c r="S34" s="68"/>
    </row>
    <row r="35" spans="1:19" x14ac:dyDescent="0.2">
      <c r="A35" s="68"/>
      <c r="B35" s="68"/>
      <c r="C35" s="68"/>
      <c r="D35" s="68"/>
      <c r="E35" s="68"/>
      <c r="F35" s="68"/>
      <c r="G35" s="68"/>
      <c r="H35" s="68"/>
      <c r="I35" s="68"/>
      <c r="J35" s="68"/>
      <c r="K35" s="68"/>
      <c r="L35" s="68"/>
      <c r="M35" s="68"/>
      <c r="N35" s="68"/>
      <c r="O35" s="68"/>
      <c r="P35" s="68"/>
      <c r="Q35" s="68"/>
      <c r="R35" s="68"/>
      <c r="S35" s="68"/>
    </row>
    <row r="36" spans="1:19" x14ac:dyDescent="0.2">
      <c r="A36" s="68"/>
      <c r="B36" s="68"/>
      <c r="C36" s="68"/>
      <c r="D36" s="68"/>
      <c r="E36" s="68"/>
      <c r="F36" s="68"/>
      <c r="G36" s="68"/>
      <c r="H36" s="68"/>
      <c r="I36" s="68"/>
      <c r="J36" s="68"/>
      <c r="K36" s="68"/>
      <c r="L36" s="68"/>
      <c r="M36" s="68"/>
      <c r="N36" s="68"/>
      <c r="O36" s="68"/>
      <c r="P36" s="68"/>
      <c r="Q36" s="68"/>
      <c r="R36" s="68"/>
      <c r="S36" s="68"/>
    </row>
    <row r="37" spans="1:19" x14ac:dyDescent="0.2">
      <c r="A37" s="68"/>
      <c r="B37" s="68"/>
      <c r="C37" s="68"/>
      <c r="D37" s="68"/>
      <c r="E37" s="68"/>
      <c r="F37" s="68"/>
      <c r="G37" s="68"/>
      <c r="H37" s="68"/>
      <c r="I37" s="68"/>
      <c r="J37" s="68"/>
      <c r="K37" s="68"/>
      <c r="L37" s="68"/>
      <c r="M37" s="68"/>
      <c r="N37" s="68"/>
      <c r="O37" s="68"/>
      <c r="P37" s="68"/>
      <c r="Q37" s="68"/>
      <c r="R37" s="68"/>
      <c r="S37" s="68"/>
    </row>
    <row r="38" spans="1:19" x14ac:dyDescent="0.2">
      <c r="A38" s="68"/>
      <c r="B38" s="68"/>
      <c r="C38" s="68"/>
      <c r="D38" s="68"/>
      <c r="E38" s="68"/>
      <c r="F38" s="68"/>
      <c r="G38" s="68"/>
      <c r="H38" s="68"/>
      <c r="I38" s="68"/>
      <c r="J38" s="68"/>
      <c r="K38" s="68"/>
      <c r="L38" s="68"/>
      <c r="M38" s="68"/>
      <c r="N38" s="68"/>
      <c r="O38" s="68"/>
      <c r="P38" s="68"/>
      <c r="Q38" s="68"/>
      <c r="R38" s="68"/>
      <c r="S38" s="68"/>
    </row>
    <row r="39" spans="1:19" x14ac:dyDescent="0.2">
      <c r="A39" s="68"/>
      <c r="B39" s="68"/>
      <c r="C39" s="68"/>
      <c r="D39" s="68"/>
      <c r="E39" s="68"/>
      <c r="F39" s="68"/>
      <c r="G39" s="68"/>
      <c r="H39" s="68"/>
      <c r="I39" s="68"/>
      <c r="J39" s="68"/>
      <c r="K39" s="68"/>
      <c r="L39" s="68"/>
      <c r="M39" s="68"/>
      <c r="N39" s="68"/>
      <c r="O39" s="68"/>
      <c r="P39" s="68"/>
      <c r="Q39" s="68"/>
      <c r="R39" s="68"/>
      <c r="S39" s="68"/>
    </row>
    <row r="40" spans="1:19" x14ac:dyDescent="0.2">
      <c r="A40" s="68"/>
      <c r="B40" s="68"/>
      <c r="C40" s="68"/>
      <c r="D40" s="68"/>
      <c r="E40" s="68"/>
      <c r="F40" s="68"/>
      <c r="G40" s="68"/>
      <c r="H40" s="68"/>
      <c r="I40" s="68"/>
      <c r="J40" s="68"/>
      <c r="K40" s="68"/>
      <c r="L40" s="68"/>
      <c r="M40" s="68"/>
      <c r="N40" s="68"/>
      <c r="O40" s="68"/>
      <c r="P40" s="68"/>
      <c r="Q40" s="68"/>
      <c r="R40" s="68"/>
      <c r="S40" s="68"/>
    </row>
    <row r="41" spans="1:19" x14ac:dyDescent="0.2">
      <c r="A41" s="68"/>
      <c r="B41" s="68"/>
      <c r="C41" s="68"/>
      <c r="D41" s="68"/>
      <c r="E41" s="68"/>
      <c r="F41" s="68"/>
      <c r="G41" s="68"/>
      <c r="H41" s="68"/>
      <c r="I41" s="68"/>
      <c r="J41" s="68"/>
      <c r="K41" s="68"/>
      <c r="L41" s="68"/>
      <c r="M41" s="68"/>
      <c r="N41" s="68"/>
      <c r="O41" s="68"/>
      <c r="P41" s="68"/>
      <c r="Q41" s="68"/>
      <c r="R41" s="68"/>
      <c r="S41" s="68"/>
    </row>
    <row r="42" spans="1:19" x14ac:dyDescent="0.2">
      <c r="A42" s="68"/>
      <c r="B42" s="68"/>
      <c r="C42" s="68"/>
      <c r="D42" s="68"/>
      <c r="E42" s="68"/>
      <c r="F42" s="68"/>
      <c r="G42" s="68"/>
      <c r="H42" s="68"/>
      <c r="I42" s="68"/>
      <c r="J42" s="68"/>
      <c r="K42" s="68"/>
      <c r="L42" s="68"/>
      <c r="M42" s="68"/>
      <c r="N42" s="68"/>
      <c r="O42" s="68"/>
      <c r="P42" s="68"/>
      <c r="Q42" s="68"/>
      <c r="R42" s="68"/>
      <c r="S42" s="68"/>
    </row>
    <row r="43" spans="1:19" x14ac:dyDescent="0.2">
      <c r="A43" s="68"/>
      <c r="B43" s="68"/>
      <c r="C43" s="68"/>
      <c r="D43" s="68"/>
      <c r="E43" s="68"/>
      <c r="F43" s="68"/>
      <c r="G43" s="68"/>
      <c r="H43" s="68"/>
      <c r="I43" s="68"/>
      <c r="J43" s="68"/>
      <c r="K43" s="68"/>
      <c r="L43" s="68"/>
      <c r="M43" s="68"/>
      <c r="N43" s="68"/>
      <c r="O43" s="68"/>
      <c r="P43" s="68"/>
      <c r="Q43" s="68"/>
      <c r="R43" s="68"/>
      <c r="S43" s="68"/>
    </row>
    <row r="44" spans="1:19" x14ac:dyDescent="0.2">
      <c r="A44" s="68"/>
      <c r="B44" s="68"/>
      <c r="C44" s="68"/>
      <c r="D44" s="68"/>
      <c r="E44" s="68"/>
      <c r="F44" s="68"/>
      <c r="G44" s="68"/>
      <c r="H44" s="68"/>
      <c r="I44" s="68"/>
      <c r="J44" s="68"/>
      <c r="K44" s="68"/>
      <c r="L44" s="68"/>
      <c r="M44" s="68"/>
      <c r="N44" s="68"/>
      <c r="O44" s="68"/>
      <c r="P44" s="68"/>
      <c r="Q44" s="68"/>
      <c r="R44" s="68"/>
      <c r="S44" s="68"/>
    </row>
    <row r="45" spans="1:19" x14ac:dyDescent="0.2">
      <c r="A45" s="68"/>
      <c r="B45" s="68"/>
      <c r="C45" s="68"/>
      <c r="D45" s="68"/>
      <c r="E45" s="68"/>
      <c r="F45" s="68"/>
      <c r="G45" s="68"/>
      <c r="H45" s="68"/>
      <c r="I45" s="68"/>
      <c r="J45" s="68"/>
      <c r="K45" s="68"/>
      <c r="L45" s="68"/>
      <c r="M45" s="68"/>
      <c r="N45" s="68"/>
      <c r="O45" s="68"/>
      <c r="P45" s="68"/>
      <c r="Q45" s="68"/>
      <c r="R45" s="68"/>
      <c r="S45" s="68"/>
    </row>
    <row r="46" spans="1:19" x14ac:dyDescent="0.2">
      <c r="A46" s="68"/>
      <c r="B46" s="68"/>
      <c r="C46" s="68"/>
      <c r="D46" s="68"/>
      <c r="E46" s="68"/>
      <c r="F46" s="68"/>
      <c r="G46" s="68"/>
      <c r="H46" s="68"/>
      <c r="I46" s="68"/>
      <c r="J46" s="68"/>
      <c r="K46" s="68"/>
      <c r="L46" s="68"/>
      <c r="M46" s="68"/>
      <c r="N46" s="68"/>
      <c r="O46" s="68"/>
      <c r="P46" s="68"/>
      <c r="Q46" s="68"/>
      <c r="R46" s="68"/>
      <c r="S46" s="68"/>
    </row>
    <row r="47" spans="1:19" x14ac:dyDescent="0.2">
      <c r="A47" s="68"/>
      <c r="B47" s="68"/>
      <c r="C47" s="68"/>
      <c r="D47" s="68"/>
      <c r="E47" s="68"/>
      <c r="F47" s="68"/>
      <c r="G47" s="68"/>
      <c r="H47" s="68"/>
      <c r="I47" s="68"/>
      <c r="J47" s="68"/>
      <c r="K47" s="68"/>
      <c r="L47" s="68"/>
      <c r="M47" s="68"/>
      <c r="N47" s="68"/>
      <c r="O47" s="68"/>
      <c r="P47" s="68"/>
      <c r="Q47" s="68"/>
      <c r="R47" s="68"/>
      <c r="S47" s="68"/>
    </row>
    <row r="48" spans="1:19" x14ac:dyDescent="0.2">
      <c r="A48" s="68"/>
      <c r="B48" s="68"/>
      <c r="C48" s="68"/>
      <c r="D48" s="68"/>
      <c r="E48" s="68"/>
      <c r="F48" s="68"/>
      <c r="G48" s="68"/>
      <c r="H48" s="68"/>
      <c r="I48" s="68"/>
      <c r="J48" s="68"/>
      <c r="K48" s="68"/>
      <c r="L48" s="68"/>
      <c r="M48" s="68"/>
      <c r="N48" s="68"/>
      <c r="O48" s="68"/>
      <c r="P48" s="68"/>
      <c r="Q48" s="68"/>
      <c r="R48" s="68"/>
      <c r="S48" s="68"/>
    </row>
    <row r="49" spans="1:19" x14ac:dyDescent="0.2">
      <c r="A49" s="68"/>
      <c r="B49" s="68"/>
      <c r="C49" s="68"/>
      <c r="D49" s="68"/>
      <c r="E49" s="68"/>
      <c r="F49" s="68"/>
      <c r="G49" s="68"/>
      <c r="H49" s="68"/>
      <c r="I49" s="68"/>
      <c r="J49" s="68"/>
      <c r="K49" s="68"/>
      <c r="L49" s="68"/>
      <c r="M49" s="68"/>
      <c r="N49" s="68"/>
      <c r="O49" s="68"/>
      <c r="P49" s="68"/>
      <c r="Q49" s="68"/>
      <c r="R49" s="68"/>
      <c r="S49" s="68"/>
    </row>
    <row r="50" spans="1:19" x14ac:dyDescent="0.2">
      <c r="A50" s="68"/>
      <c r="B50" s="68"/>
      <c r="C50" s="68"/>
      <c r="D50" s="68"/>
      <c r="E50" s="68"/>
      <c r="F50" s="68"/>
      <c r="G50" s="68"/>
      <c r="H50" s="68"/>
      <c r="I50" s="68"/>
      <c r="J50" s="68"/>
      <c r="K50" s="68"/>
      <c r="L50" s="68"/>
      <c r="M50" s="68"/>
      <c r="N50" s="68"/>
      <c r="O50" s="68"/>
      <c r="P50" s="68"/>
      <c r="Q50" s="68"/>
      <c r="R50" s="68"/>
      <c r="S50" s="68"/>
    </row>
    <row r="51" spans="1:19" x14ac:dyDescent="0.2">
      <c r="A51" s="68"/>
      <c r="B51" s="68"/>
      <c r="C51" s="68"/>
      <c r="D51" s="68"/>
      <c r="E51" s="68"/>
      <c r="F51" s="68"/>
      <c r="G51" s="68"/>
      <c r="H51" s="68"/>
      <c r="I51" s="68"/>
      <c r="J51" s="68"/>
      <c r="K51" s="68"/>
      <c r="L51" s="68"/>
      <c r="M51" s="68"/>
      <c r="N51" s="68"/>
      <c r="O51" s="68"/>
      <c r="P51" s="68"/>
      <c r="Q51" s="68"/>
      <c r="R51" s="68"/>
      <c r="S51" s="68"/>
    </row>
    <row r="52" spans="1:19" x14ac:dyDescent="0.2">
      <c r="A52" s="68"/>
      <c r="B52" s="68"/>
      <c r="C52" s="68"/>
      <c r="D52" s="68"/>
      <c r="E52" s="68"/>
      <c r="F52" s="68"/>
      <c r="G52" s="68"/>
      <c r="H52" s="68"/>
      <c r="I52" s="68"/>
      <c r="J52" s="68"/>
      <c r="K52" s="68"/>
      <c r="L52" s="68"/>
      <c r="M52" s="68"/>
      <c r="N52" s="68"/>
      <c r="O52" s="68"/>
      <c r="P52" s="68"/>
      <c r="Q52" s="68"/>
      <c r="R52" s="68"/>
      <c r="S52" s="68"/>
    </row>
    <row r="53" spans="1:19" x14ac:dyDescent="0.2">
      <c r="A53" s="68"/>
      <c r="B53" s="68"/>
      <c r="C53" s="68"/>
      <c r="D53" s="68"/>
      <c r="E53" s="68"/>
      <c r="F53" s="68"/>
      <c r="G53" s="68"/>
      <c r="H53" s="68"/>
      <c r="I53" s="68"/>
      <c r="J53" s="68"/>
      <c r="K53" s="68"/>
      <c r="L53" s="68"/>
      <c r="M53" s="68"/>
      <c r="N53" s="68"/>
      <c r="O53" s="68"/>
      <c r="P53" s="68"/>
      <c r="Q53" s="68"/>
      <c r="R53" s="68"/>
      <c r="S53" s="68"/>
    </row>
    <row r="54" spans="1:19" x14ac:dyDescent="0.2">
      <c r="A54" s="68"/>
      <c r="B54" s="68"/>
      <c r="C54" s="68"/>
      <c r="D54" s="68"/>
      <c r="E54" s="68"/>
      <c r="F54" s="68"/>
      <c r="G54" s="68"/>
      <c r="H54" s="68"/>
      <c r="I54" s="68"/>
      <c r="J54" s="68"/>
      <c r="K54" s="68"/>
      <c r="L54" s="68"/>
      <c r="M54" s="68"/>
      <c r="N54" s="68"/>
      <c r="O54" s="68"/>
      <c r="P54" s="68"/>
      <c r="Q54" s="68"/>
      <c r="R54" s="68"/>
      <c r="S54" s="68"/>
    </row>
    <row r="55" spans="1:19" x14ac:dyDescent="0.2">
      <c r="A55" s="68"/>
      <c r="B55" s="68"/>
      <c r="C55" s="68"/>
      <c r="D55" s="68"/>
      <c r="E55" s="68"/>
      <c r="F55" s="68"/>
      <c r="G55" s="68"/>
      <c r="H55" s="68"/>
      <c r="I55" s="68"/>
      <c r="J55" s="68"/>
      <c r="K55" s="68"/>
      <c r="L55" s="68"/>
      <c r="M55" s="68"/>
      <c r="N55" s="68"/>
      <c r="O55" s="68"/>
      <c r="P55" s="68"/>
      <c r="Q55" s="68"/>
      <c r="R55" s="68"/>
      <c r="S55" s="68"/>
    </row>
    <row r="56" spans="1:19" x14ac:dyDescent="0.2">
      <c r="A56" s="68"/>
      <c r="B56" s="68"/>
      <c r="C56" s="68"/>
      <c r="D56" s="68"/>
      <c r="E56" s="68"/>
      <c r="F56" s="68"/>
      <c r="G56" s="68"/>
      <c r="H56" s="68"/>
      <c r="I56" s="68"/>
      <c r="J56" s="68"/>
      <c r="K56" s="68"/>
      <c r="L56" s="68"/>
      <c r="M56" s="68"/>
      <c r="N56" s="68"/>
      <c r="O56" s="68"/>
      <c r="P56" s="68"/>
      <c r="Q56" s="68"/>
      <c r="R56" s="68"/>
      <c r="S56" s="68"/>
    </row>
    <row r="57" spans="1:19" x14ac:dyDescent="0.2">
      <c r="A57" s="68"/>
      <c r="B57" s="68"/>
      <c r="C57" s="68"/>
      <c r="D57" s="68"/>
      <c r="E57" s="68"/>
      <c r="F57" s="68"/>
      <c r="G57" s="68"/>
      <c r="H57" s="68"/>
      <c r="I57" s="68"/>
      <c r="J57" s="68"/>
      <c r="K57" s="68"/>
      <c r="L57" s="68"/>
      <c r="M57" s="68"/>
      <c r="N57" s="68"/>
      <c r="O57" s="68"/>
      <c r="P57" s="68"/>
      <c r="Q57" s="68"/>
      <c r="R57" s="68"/>
      <c r="S57" s="68"/>
    </row>
    <row r="58" spans="1:19" x14ac:dyDescent="0.2">
      <c r="A58" s="68"/>
      <c r="B58" s="68"/>
      <c r="C58" s="68"/>
      <c r="D58" s="68"/>
      <c r="E58" s="68"/>
      <c r="F58" s="68"/>
      <c r="G58" s="68"/>
      <c r="H58" s="68"/>
      <c r="I58" s="68"/>
      <c r="J58" s="68"/>
      <c r="K58" s="68"/>
      <c r="L58" s="68"/>
      <c r="M58" s="68"/>
      <c r="N58" s="68"/>
      <c r="O58" s="68"/>
      <c r="P58" s="68"/>
      <c r="Q58" s="68"/>
      <c r="R58" s="68"/>
      <c r="S58" s="68"/>
    </row>
    <row r="59" spans="1:19" x14ac:dyDescent="0.2">
      <c r="A59" s="68"/>
      <c r="B59" s="68"/>
      <c r="C59" s="68"/>
      <c r="D59" s="68"/>
      <c r="E59" s="68"/>
      <c r="F59" s="68"/>
      <c r="G59" s="68"/>
      <c r="H59" s="68"/>
      <c r="I59" s="68"/>
      <c r="J59" s="68"/>
      <c r="K59" s="68"/>
      <c r="L59" s="68"/>
      <c r="M59" s="68"/>
      <c r="N59" s="68"/>
      <c r="O59" s="68"/>
      <c r="P59" s="68"/>
      <c r="Q59" s="68"/>
      <c r="R59" s="68"/>
      <c r="S59" s="68"/>
    </row>
    <row r="60" spans="1:19" x14ac:dyDescent="0.2">
      <c r="A60" s="68"/>
      <c r="B60" s="68"/>
      <c r="C60" s="68"/>
      <c r="D60" s="68"/>
      <c r="E60" s="68"/>
      <c r="F60" s="68"/>
      <c r="G60" s="68"/>
      <c r="H60" s="68"/>
      <c r="I60" s="68"/>
      <c r="J60" s="68"/>
      <c r="K60" s="68"/>
      <c r="L60" s="68"/>
      <c r="M60" s="68"/>
      <c r="N60" s="68"/>
      <c r="O60" s="68"/>
      <c r="P60" s="68"/>
      <c r="Q60" s="68"/>
      <c r="R60" s="68"/>
      <c r="S60" s="68"/>
    </row>
    <row r="61" spans="1:19" x14ac:dyDescent="0.2">
      <c r="A61" s="68"/>
      <c r="B61" s="68"/>
      <c r="C61" s="68"/>
      <c r="D61" s="68"/>
      <c r="E61" s="68"/>
      <c r="F61" s="68"/>
      <c r="G61" s="68"/>
      <c r="H61" s="68"/>
      <c r="I61" s="68"/>
      <c r="J61" s="68"/>
      <c r="K61" s="68"/>
      <c r="L61" s="68"/>
      <c r="M61" s="68"/>
      <c r="N61" s="68"/>
      <c r="O61" s="68"/>
      <c r="P61" s="68"/>
      <c r="Q61" s="68"/>
      <c r="R61" s="68"/>
      <c r="S61" s="68"/>
    </row>
  </sheetData>
  <sheetProtection password="C12A" sheet="1" objects="1" scenarios="1" selectLockedCells="1"/>
  <mergeCells count="1">
    <mergeCell ref="A1:F2"/>
  </mergeCells>
  <pageMargins left="0.70866141732283472" right="0.70866141732283472" top="0.78740157480314965" bottom="0.78740157480314965" header="0.31496062992125984" footer="0.31496062992125984"/>
  <pageSetup paperSize="9" scale="85"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pageSetUpPr fitToPage="1"/>
  </sheetPr>
  <dimension ref="A1:AG76"/>
  <sheetViews>
    <sheetView zoomScale="40" zoomScaleNormal="40" zoomScaleSheetLayoutView="85" zoomScalePageLayoutView="40" workbookViewId="0">
      <selection activeCell="S20" sqref="S20"/>
    </sheetView>
  </sheetViews>
  <sheetFormatPr baseColWidth="10" defaultRowHeight="14.25" x14ac:dyDescent="0.2"/>
  <cols>
    <col min="1" max="1" width="2.625" customWidth="1"/>
    <col min="3" max="4" width="10.625" customWidth="1"/>
    <col min="5" max="5" width="10.375" customWidth="1"/>
    <col min="6" max="6" width="10.875" customWidth="1"/>
    <col min="7" max="7" width="9.125" customWidth="1"/>
    <col min="8" max="8" width="10.5" customWidth="1"/>
    <col min="9" max="9" width="9.375" customWidth="1"/>
    <col min="10" max="10" width="9.5" customWidth="1"/>
    <col min="11" max="11" width="8.75" customWidth="1"/>
    <col min="12" max="12" width="10" customWidth="1"/>
    <col min="13" max="13" width="9.5" customWidth="1"/>
    <col min="14" max="14" width="11.125" customWidth="1"/>
    <col min="15" max="15" width="8.25" customWidth="1"/>
    <col min="17" max="17" width="14.25" customWidth="1"/>
  </cols>
  <sheetData>
    <row r="1" spans="1:33" ht="20.25" x14ac:dyDescent="0.2">
      <c r="A1" s="30" t="s">
        <v>283</v>
      </c>
      <c r="B1" s="31"/>
      <c r="C1" s="32"/>
      <c r="D1" s="33" t="s">
        <v>284</v>
      </c>
      <c r="E1" s="34"/>
      <c r="F1" s="35"/>
      <c r="G1" s="36"/>
      <c r="H1" s="36" t="s">
        <v>202</v>
      </c>
      <c r="I1" s="34"/>
      <c r="J1" s="35"/>
      <c r="K1" s="34"/>
      <c r="L1" s="35"/>
      <c r="M1" s="34"/>
      <c r="N1" s="35"/>
      <c r="O1" s="37"/>
      <c r="P1" s="38"/>
      <c r="Q1" s="38"/>
      <c r="R1" s="38"/>
      <c r="S1" s="38"/>
      <c r="T1" s="38"/>
      <c r="U1" s="38"/>
      <c r="V1" s="38"/>
      <c r="W1" s="38"/>
      <c r="X1" s="38"/>
      <c r="Y1" s="38"/>
      <c r="Z1" s="38"/>
      <c r="AA1" s="38"/>
    </row>
    <row r="2" spans="1:33" ht="15" x14ac:dyDescent="0.2">
      <c r="A2" s="407"/>
      <c r="B2" s="407"/>
      <c r="C2" s="407"/>
      <c r="D2" s="408"/>
      <c r="E2" s="407"/>
      <c r="F2" s="408"/>
      <c r="G2" s="407"/>
      <c r="H2" s="408"/>
      <c r="I2" s="407"/>
      <c r="J2" s="408"/>
      <c r="K2" s="407"/>
      <c r="L2" s="408"/>
      <c r="M2" s="407"/>
      <c r="N2" s="408"/>
      <c r="O2" s="407"/>
      <c r="P2" s="55"/>
      <c r="Q2" s="55"/>
      <c r="R2" s="55"/>
      <c r="S2" s="55"/>
      <c r="T2" s="40"/>
      <c r="U2" s="40"/>
      <c r="V2" s="40"/>
      <c r="W2" s="40"/>
      <c r="X2" s="40"/>
      <c r="Y2" s="40"/>
      <c r="Z2" s="40"/>
      <c r="AA2" s="40"/>
    </row>
    <row r="3" spans="1:33" ht="15.75" x14ac:dyDescent="0.25">
      <c r="A3" s="407"/>
      <c r="B3" s="409" t="s">
        <v>285</v>
      </c>
      <c r="C3" s="407"/>
      <c r="D3" s="408"/>
      <c r="E3" s="407"/>
      <c r="F3" s="408"/>
      <c r="G3" s="407"/>
      <c r="H3" s="408"/>
      <c r="I3" s="407"/>
      <c r="J3" s="408"/>
      <c r="K3" s="407"/>
      <c r="L3" s="408"/>
      <c r="M3" s="407"/>
      <c r="N3" s="408"/>
      <c r="O3" s="407"/>
      <c r="P3" s="55"/>
      <c r="Q3" s="55"/>
      <c r="R3" s="55"/>
      <c r="S3" s="55"/>
      <c r="T3" s="40"/>
      <c r="U3" s="40"/>
      <c r="V3" s="40"/>
      <c r="W3" s="40"/>
      <c r="X3" s="40"/>
      <c r="Y3" s="40"/>
      <c r="Z3" s="40"/>
      <c r="AA3" s="40"/>
    </row>
    <row r="4" spans="1:33" ht="15" x14ac:dyDescent="0.2">
      <c r="A4" s="410"/>
      <c r="B4" s="410"/>
      <c r="C4" s="410"/>
      <c r="D4" s="411"/>
      <c r="E4" s="410"/>
      <c r="F4" s="411"/>
      <c r="G4" s="410"/>
      <c r="H4" s="411"/>
      <c r="I4" s="410"/>
      <c r="J4" s="411"/>
      <c r="K4" s="410"/>
      <c r="L4" s="411"/>
      <c r="M4" s="410"/>
      <c r="N4" s="411"/>
      <c r="O4" s="410"/>
      <c r="P4" s="55"/>
      <c r="Q4" s="55"/>
      <c r="R4" s="55"/>
      <c r="S4" s="55"/>
      <c r="T4" s="40"/>
      <c r="U4" s="40"/>
      <c r="V4" s="40"/>
      <c r="W4" s="40"/>
      <c r="X4" s="40"/>
      <c r="Y4" s="40"/>
      <c r="Z4" s="40"/>
      <c r="AA4" s="40"/>
      <c r="AB4" s="699"/>
      <c r="AC4" s="699"/>
      <c r="AD4" s="699"/>
      <c r="AE4" s="699"/>
      <c r="AF4" s="699"/>
      <c r="AG4" s="699"/>
    </row>
    <row r="5" spans="1:33" ht="15.75" x14ac:dyDescent="0.2">
      <c r="A5" s="412"/>
      <c r="B5" s="413" t="s">
        <v>286</v>
      </c>
      <c r="C5" s="414"/>
      <c r="D5" s="975" t="str">
        <f>R5</f>
        <v>Juni</v>
      </c>
      <c r="E5" s="974"/>
      <c r="F5" s="975" t="str">
        <f>T5</f>
        <v>Juli</v>
      </c>
      <c r="G5" s="974"/>
      <c r="H5" s="975" t="str">
        <f>V5</f>
        <v>August</v>
      </c>
      <c r="I5" s="974"/>
      <c r="J5" s="975" t="str">
        <f>X5</f>
        <v>September</v>
      </c>
      <c r="K5" s="974"/>
      <c r="L5" s="975" t="str">
        <f>Z5</f>
        <v>Oktober</v>
      </c>
      <c r="M5" s="974"/>
      <c r="N5" s="975" t="str">
        <f>AB5</f>
        <v>November</v>
      </c>
      <c r="O5" s="974"/>
      <c r="P5" s="55"/>
      <c r="Q5" s="111"/>
      <c r="R5" s="971" t="s">
        <v>357</v>
      </c>
      <c r="S5" s="972"/>
      <c r="T5" s="971" t="s">
        <v>358</v>
      </c>
      <c r="U5" s="972"/>
      <c r="V5" s="971" t="s">
        <v>359</v>
      </c>
      <c r="W5" s="972"/>
      <c r="X5" s="971" t="s">
        <v>360</v>
      </c>
      <c r="Y5" s="972"/>
      <c r="Z5" s="971" t="s">
        <v>361</v>
      </c>
      <c r="AA5" s="972"/>
      <c r="AB5" s="971" t="s">
        <v>362</v>
      </c>
      <c r="AC5" s="972"/>
      <c r="AD5" s="40"/>
      <c r="AE5" s="40"/>
      <c r="AF5" s="40"/>
      <c r="AG5" s="699"/>
    </row>
    <row r="6" spans="1:33" ht="15.75" x14ac:dyDescent="0.25">
      <c r="A6" s="415"/>
      <c r="B6" s="416"/>
      <c r="C6" s="417"/>
      <c r="D6" s="418" t="s">
        <v>287</v>
      </c>
      <c r="E6" s="417" t="s">
        <v>288</v>
      </c>
      <c r="F6" s="418" t="s">
        <v>287</v>
      </c>
      <c r="G6" s="417" t="s">
        <v>288</v>
      </c>
      <c r="H6" s="418" t="s">
        <v>287</v>
      </c>
      <c r="I6" s="417" t="s">
        <v>288</v>
      </c>
      <c r="J6" s="418" t="s">
        <v>287</v>
      </c>
      <c r="K6" s="417" t="s">
        <v>288</v>
      </c>
      <c r="L6" s="418" t="s">
        <v>287</v>
      </c>
      <c r="M6" s="417" t="s">
        <v>288</v>
      </c>
      <c r="N6" s="418" t="s">
        <v>287</v>
      </c>
      <c r="O6" s="417" t="s">
        <v>288</v>
      </c>
      <c r="P6" s="42"/>
      <c r="Q6" s="43"/>
      <c r="R6" s="44" t="s">
        <v>289</v>
      </c>
      <c r="S6" s="45" t="s">
        <v>35</v>
      </c>
      <c r="T6" s="44" t="s">
        <v>289</v>
      </c>
      <c r="U6" s="45" t="s">
        <v>35</v>
      </c>
      <c r="V6" s="44" t="s">
        <v>289</v>
      </c>
      <c r="W6" s="45" t="s">
        <v>35</v>
      </c>
      <c r="X6" s="44" t="s">
        <v>289</v>
      </c>
      <c r="Y6" s="45" t="s">
        <v>35</v>
      </c>
      <c r="Z6" s="44" t="s">
        <v>289</v>
      </c>
      <c r="AA6" s="45" t="s">
        <v>35</v>
      </c>
      <c r="AB6" s="44" t="s">
        <v>289</v>
      </c>
      <c r="AC6" s="45" t="s">
        <v>35</v>
      </c>
      <c r="AD6" s="42"/>
      <c r="AE6" s="42"/>
      <c r="AF6" s="42"/>
      <c r="AG6" s="699"/>
    </row>
    <row r="7" spans="1:33" ht="15.75" x14ac:dyDescent="0.2">
      <c r="A7" s="419" t="s">
        <v>290</v>
      </c>
      <c r="B7" s="420" t="s">
        <v>291</v>
      </c>
      <c r="C7" s="421"/>
      <c r="D7" s="422"/>
      <c r="E7" s="423"/>
      <c r="F7" s="424"/>
      <c r="G7" s="423"/>
      <c r="H7" s="424"/>
      <c r="I7" s="423"/>
      <c r="J7" s="424"/>
      <c r="K7" s="423"/>
      <c r="L7" s="424"/>
      <c r="M7" s="423"/>
      <c r="N7" s="424"/>
      <c r="O7" s="425"/>
      <c r="P7" s="46"/>
      <c r="Q7" s="47"/>
      <c r="R7" s="781" t="s">
        <v>249</v>
      </c>
      <c r="S7" s="782"/>
      <c r="T7" s="782"/>
      <c r="U7" s="782"/>
      <c r="V7" s="782"/>
      <c r="W7" s="782"/>
      <c r="X7" s="782"/>
      <c r="Y7" s="782"/>
      <c r="Z7" s="782"/>
      <c r="AA7" s="782"/>
      <c r="AB7" s="782"/>
      <c r="AC7" s="783"/>
      <c r="AD7" s="46"/>
      <c r="AE7" s="46"/>
      <c r="AF7" s="46"/>
      <c r="AG7" s="699"/>
    </row>
    <row r="8" spans="1:33" ht="15" x14ac:dyDescent="0.2">
      <c r="A8" s="426"/>
      <c r="B8" s="427" t="s">
        <v>14</v>
      </c>
      <c r="C8" s="428"/>
      <c r="D8" s="429">
        <f>(Rentabilitätsvorschau!$C$15/12)*1.19</f>
        <v>6941.6666666666661</v>
      </c>
      <c r="E8" s="430"/>
      <c r="F8" s="429">
        <f>(Rentabilitätsvorschau!$C$15/12)*1.19</f>
        <v>6941.6666666666661</v>
      </c>
      <c r="G8" s="430"/>
      <c r="H8" s="429">
        <f>(Rentabilitätsvorschau!$C$15/12)*1.19</f>
        <v>6941.6666666666661</v>
      </c>
      <c r="I8" s="430"/>
      <c r="J8" s="429">
        <f>(Rentabilitätsvorschau!$C$15/12)*1.19</f>
        <v>6941.6666666666661</v>
      </c>
      <c r="K8" s="430"/>
      <c r="L8" s="429">
        <f>(Rentabilitätsvorschau!$C$15/12)*1.19</f>
        <v>6941.6666666666661</v>
      </c>
      <c r="M8" s="430"/>
      <c r="N8" s="429">
        <f>(Rentabilitätsvorschau!$C$15/12)*1.19</f>
        <v>6941.6666666666661</v>
      </c>
      <c r="O8" s="791"/>
      <c r="P8" s="42"/>
      <c r="Q8" s="48" t="s">
        <v>292</v>
      </c>
      <c r="R8" s="784">
        <f>(Rentabilitätsvorschau!C14 / 100)*S8</f>
        <v>6000</v>
      </c>
      <c r="S8" s="789">
        <v>3</v>
      </c>
      <c r="T8" s="784">
        <f>(Rentabilitätsvorschau!C14 / 100)*U8</f>
        <v>8000</v>
      </c>
      <c r="U8" s="789">
        <v>4</v>
      </c>
      <c r="V8" s="784">
        <f>(Rentabilitätsvorschau!C14 / 100)*W8</f>
        <v>10000</v>
      </c>
      <c r="W8" s="789">
        <v>5</v>
      </c>
      <c r="X8" s="784">
        <f>(Rentabilitätsvorschau!C14 / 100)*Y8</f>
        <v>20000</v>
      </c>
      <c r="Y8" s="789">
        <v>10</v>
      </c>
      <c r="Z8" s="784">
        <f>(Rentabilitätsvorschau!C14 / 100)*AA8</f>
        <v>20000</v>
      </c>
      <c r="AA8" s="789">
        <v>10</v>
      </c>
      <c r="AB8" s="784">
        <f>(Rentabilitätsvorschau!C14 / 100)*AC8</f>
        <v>20000</v>
      </c>
      <c r="AC8" s="789">
        <v>10</v>
      </c>
      <c r="AD8" s="42"/>
      <c r="AE8" s="42"/>
      <c r="AF8" s="42"/>
      <c r="AG8" s="699"/>
    </row>
    <row r="9" spans="1:33" ht="15" x14ac:dyDescent="0.2">
      <c r="A9" s="431"/>
      <c r="B9" s="432" t="s">
        <v>293</v>
      </c>
      <c r="C9" s="433"/>
      <c r="D9" s="434">
        <f>Rentabilitätsvorschau!$C$18/12</f>
        <v>0</v>
      </c>
      <c r="E9" s="792"/>
      <c r="F9" s="434">
        <f>Rentabilitätsvorschau!$C$18/12</f>
        <v>0</v>
      </c>
      <c r="G9" s="792"/>
      <c r="H9" s="434">
        <f>Rentabilitätsvorschau!$C$18/12</f>
        <v>0</v>
      </c>
      <c r="I9" s="792"/>
      <c r="J9" s="434">
        <f>Rentabilitätsvorschau!$C$18/12</f>
        <v>0</v>
      </c>
      <c r="K9" s="792"/>
      <c r="L9" s="434">
        <f>Rentabilitätsvorschau!$C$18/12</f>
        <v>0</v>
      </c>
      <c r="M9" s="792"/>
      <c r="N9" s="434">
        <f>Rentabilitätsvorschau!$C$18/12</f>
        <v>0</v>
      </c>
      <c r="O9" s="793"/>
      <c r="P9" s="49"/>
      <c r="Q9" s="50" t="s">
        <v>294</v>
      </c>
      <c r="R9" s="784">
        <f>(Rentabilitätsvorschau!C17 / 100)*S9</f>
        <v>0</v>
      </c>
      <c r="S9" s="789">
        <v>0</v>
      </c>
      <c r="T9" s="784">
        <f>(Rentabilitätsvorschau!C17 / 100)*U9</f>
        <v>0</v>
      </c>
      <c r="U9" s="789">
        <v>0</v>
      </c>
      <c r="V9" s="784">
        <f>(Rentabilitätsvorschau!C17 / 100)*W9</f>
        <v>0</v>
      </c>
      <c r="W9" s="789">
        <v>0</v>
      </c>
      <c r="X9" s="784">
        <f>(Rentabilitätsvorschau!C17 / 100)*Y9</f>
        <v>0</v>
      </c>
      <c r="Y9" s="789">
        <v>0</v>
      </c>
      <c r="Z9" s="784">
        <f>(Rentabilitätsvorschau!C17 / 100)*AA9</f>
        <v>0</v>
      </c>
      <c r="AA9" s="789">
        <v>0</v>
      </c>
      <c r="AB9" s="784">
        <f>(Rentabilitätsvorschau!C17 / 100)*AC9</f>
        <v>0</v>
      </c>
      <c r="AC9" s="789">
        <v>0</v>
      </c>
      <c r="AD9" s="49"/>
      <c r="AE9" s="49"/>
      <c r="AF9" s="49"/>
      <c r="AG9" s="699"/>
    </row>
    <row r="10" spans="1:33" ht="15" x14ac:dyDescent="0.2">
      <c r="A10" s="431"/>
      <c r="B10" s="432" t="s">
        <v>270</v>
      </c>
      <c r="C10" s="433"/>
      <c r="D10" s="435">
        <f>Rentabilitätsvorschau!$C$24/12</f>
        <v>3541.6666666666665</v>
      </c>
      <c r="E10" s="794"/>
      <c r="F10" s="435">
        <f>Rentabilitätsvorschau!$C$24/12</f>
        <v>3541.6666666666665</v>
      </c>
      <c r="G10" s="794"/>
      <c r="H10" s="435">
        <f>Rentabilitätsvorschau!$C$24/12</f>
        <v>3541.6666666666665</v>
      </c>
      <c r="I10" s="794"/>
      <c r="J10" s="435">
        <f>Rentabilitätsvorschau!$C$24/12</f>
        <v>3541.6666666666665</v>
      </c>
      <c r="K10" s="794"/>
      <c r="L10" s="435">
        <f>Rentabilitätsvorschau!$C$24/12</f>
        <v>3541.6666666666665</v>
      </c>
      <c r="M10" s="794"/>
      <c r="N10" s="435">
        <f>Rentabilitätsvorschau!$C$24/12</f>
        <v>3541.6666666666665</v>
      </c>
      <c r="O10" s="795"/>
      <c r="P10" s="49"/>
      <c r="Q10" s="50" t="s">
        <v>295</v>
      </c>
      <c r="R10" s="787"/>
      <c r="S10" s="785"/>
      <c r="T10" s="787"/>
      <c r="U10" s="785"/>
      <c r="V10" s="788"/>
      <c r="W10" s="786"/>
      <c r="X10" s="788"/>
      <c r="Y10" s="786"/>
      <c r="Z10" s="788"/>
      <c r="AA10" s="786"/>
      <c r="AB10" s="788"/>
      <c r="AC10" s="786"/>
      <c r="AD10" s="49"/>
      <c r="AE10" s="49"/>
      <c r="AF10" s="49"/>
      <c r="AG10" s="699"/>
    </row>
    <row r="11" spans="1:33" ht="15" x14ac:dyDescent="0.2">
      <c r="A11" s="431"/>
      <c r="B11" s="432" t="s">
        <v>296</v>
      </c>
      <c r="C11" s="433"/>
      <c r="D11" s="435">
        <f>Rentabilitätsvorschau!$C$54/12</f>
        <v>3400</v>
      </c>
      <c r="E11" s="794"/>
      <c r="F11" s="435">
        <f>Rentabilitätsvorschau!$C$54/12</f>
        <v>3400</v>
      </c>
      <c r="G11" s="794"/>
      <c r="H11" s="435">
        <f>Rentabilitätsvorschau!$C$54/12</f>
        <v>3400</v>
      </c>
      <c r="I11" s="794"/>
      <c r="J11" s="435">
        <f>Rentabilitätsvorschau!$C$54/12</f>
        <v>3400</v>
      </c>
      <c r="K11" s="794"/>
      <c r="L11" s="435">
        <f>Rentabilitätsvorschau!$C$54/12</f>
        <v>3400</v>
      </c>
      <c r="M11" s="794"/>
      <c r="N11" s="435">
        <f>Rentabilitätsvorschau!$C$54/12</f>
        <v>3400</v>
      </c>
      <c r="O11" s="795"/>
      <c r="P11" s="49"/>
      <c r="Q11" s="50" t="s">
        <v>297</v>
      </c>
      <c r="R11" s="51"/>
      <c r="S11" s="52"/>
      <c r="T11" s="51"/>
      <c r="U11" s="52"/>
      <c r="V11" s="53"/>
      <c r="W11" s="52"/>
      <c r="X11" s="53"/>
      <c r="Y11" s="52"/>
      <c r="Z11" s="53"/>
      <c r="AA11" s="52"/>
      <c r="AB11" s="53"/>
      <c r="AC11" s="52"/>
      <c r="AD11" s="49"/>
      <c r="AE11" s="49"/>
      <c r="AF11" s="49"/>
      <c r="AG11" s="699"/>
    </row>
    <row r="12" spans="1:33" ht="15" x14ac:dyDescent="0.2">
      <c r="A12" s="431"/>
      <c r="B12" s="432" t="s">
        <v>298</v>
      </c>
      <c r="C12" s="433"/>
      <c r="D12" s="435">
        <f>'Kapitaldienst Jahr 1-11'!C34/12</f>
        <v>466.66666666666669</v>
      </c>
      <c r="E12" s="794"/>
      <c r="F12" s="435">
        <f>'Kapitaldienst Jahr 1-11'!C34/12</f>
        <v>466.66666666666669</v>
      </c>
      <c r="G12" s="794"/>
      <c r="H12" s="435">
        <f>'Kapitaldienst Jahr 1-11'!C34/12</f>
        <v>466.66666666666669</v>
      </c>
      <c r="I12" s="794"/>
      <c r="J12" s="435">
        <f>'Kapitaldienst Jahr 1-11'!C34/12</f>
        <v>466.66666666666669</v>
      </c>
      <c r="K12" s="794"/>
      <c r="L12" s="435">
        <f>'Kapitaldienst Jahr 1-11'!C34/12</f>
        <v>466.66666666666669</v>
      </c>
      <c r="M12" s="794"/>
      <c r="N12" s="435">
        <f>'Kapitaldienst Jahr 1-11'!C34/12</f>
        <v>466.66666666666669</v>
      </c>
      <c r="O12" s="795"/>
      <c r="P12" s="49"/>
      <c r="Q12" s="49"/>
      <c r="R12" s="49"/>
      <c r="S12" s="49"/>
      <c r="T12" s="49"/>
      <c r="U12" s="49"/>
      <c r="V12" s="49"/>
      <c r="W12" s="49"/>
      <c r="X12" s="49"/>
      <c r="Y12" s="49"/>
      <c r="Z12" s="49"/>
      <c r="AA12" s="49"/>
      <c r="AB12" s="49"/>
      <c r="AC12" s="49"/>
      <c r="AD12" s="49"/>
      <c r="AE12" s="49"/>
      <c r="AF12" s="49"/>
      <c r="AG12" s="699"/>
    </row>
    <row r="13" spans="1:33" ht="15" x14ac:dyDescent="0.2">
      <c r="A13" s="431"/>
      <c r="B13" s="432" t="s">
        <v>299</v>
      </c>
      <c r="C13" s="433"/>
      <c r="D13" s="435">
        <v>0</v>
      </c>
      <c r="E13" s="794"/>
      <c r="F13" s="435">
        <f>(D17+D18+D19+D21)/119*19</f>
        <v>1140</v>
      </c>
      <c r="G13" s="436"/>
      <c r="H13" s="435">
        <f>((F17+F18+F19+F21))/119*19</f>
        <v>1520</v>
      </c>
      <c r="I13" s="436"/>
      <c r="J13" s="435">
        <f>((H17+H18+H19+H21))/119*19</f>
        <v>1900</v>
      </c>
      <c r="K13" s="436"/>
      <c r="L13" s="435">
        <f>((J17+J18+J19+J21))/119*19</f>
        <v>3800</v>
      </c>
      <c r="M13" s="436"/>
      <c r="N13" s="435">
        <f>((L17+L18+L19+L21))/119*19</f>
        <v>3800</v>
      </c>
      <c r="O13" s="795"/>
      <c r="P13" s="49"/>
      <c r="Q13" s="49"/>
      <c r="R13" s="49"/>
      <c r="S13" s="49"/>
      <c r="T13" s="49"/>
      <c r="U13" s="49"/>
      <c r="V13" s="49"/>
      <c r="W13" s="49"/>
      <c r="X13" s="49"/>
      <c r="Y13" s="49"/>
      <c r="Z13" s="49"/>
      <c r="AA13" s="49"/>
      <c r="AB13" s="49"/>
      <c r="AC13" s="49"/>
      <c r="AD13" s="49"/>
      <c r="AE13" s="49"/>
      <c r="AF13" s="49"/>
      <c r="AG13" s="699"/>
    </row>
    <row r="14" spans="1:33" ht="15" x14ac:dyDescent="0.2">
      <c r="A14" s="431"/>
      <c r="B14" s="432" t="s">
        <v>195</v>
      </c>
      <c r="C14" s="433"/>
      <c r="D14" s="435">
        <f>Rentabilitätsvorschau!$C$27/12*1.19</f>
        <v>3322.3808333333332</v>
      </c>
      <c r="E14" s="436"/>
      <c r="F14" s="435">
        <f>Rentabilitätsvorschau!$C$27/12*1.19</f>
        <v>3322.3808333333332</v>
      </c>
      <c r="G14" s="436"/>
      <c r="H14" s="435">
        <f>Rentabilitätsvorschau!$C$27/12*1.19</f>
        <v>3322.3808333333332</v>
      </c>
      <c r="I14" s="436"/>
      <c r="J14" s="435">
        <f>Rentabilitätsvorschau!$C$27/12*1.19</f>
        <v>3322.3808333333332</v>
      </c>
      <c r="K14" s="436"/>
      <c r="L14" s="435">
        <f>Rentabilitätsvorschau!$C$27/12*1.19</f>
        <v>3322.3808333333332</v>
      </c>
      <c r="M14" s="436"/>
      <c r="N14" s="435">
        <f>Rentabilitätsvorschau!$C$27/12*1.19</f>
        <v>3322.3808333333332</v>
      </c>
      <c r="O14" s="795"/>
      <c r="P14" s="49"/>
      <c r="Q14" s="49"/>
      <c r="R14" s="49"/>
      <c r="S14" s="49"/>
      <c r="T14" s="49"/>
      <c r="U14" s="49"/>
      <c r="V14" s="49"/>
      <c r="W14" s="49"/>
      <c r="X14" s="49"/>
      <c r="Y14" s="49"/>
      <c r="Z14" s="49"/>
      <c r="AA14" s="49"/>
      <c r="AB14" s="49"/>
      <c r="AC14" s="49"/>
      <c r="AD14" s="49"/>
      <c r="AE14" s="49"/>
      <c r="AF14" s="49"/>
      <c r="AG14" s="699"/>
    </row>
    <row r="15" spans="1:33" ht="15.75" x14ac:dyDescent="0.25">
      <c r="A15" s="437"/>
      <c r="B15" s="438" t="s">
        <v>259</v>
      </c>
      <c r="C15" s="439"/>
      <c r="D15" s="440">
        <f t="shared" ref="D15:O15" si="0">SUM(D8:D14)</f>
        <v>17672.380833333333</v>
      </c>
      <c r="E15" s="441">
        <f t="shared" si="0"/>
        <v>0</v>
      </c>
      <c r="F15" s="440">
        <f t="shared" si="0"/>
        <v>18812.380833333333</v>
      </c>
      <c r="G15" s="441">
        <f t="shared" si="0"/>
        <v>0</v>
      </c>
      <c r="H15" s="440">
        <f t="shared" si="0"/>
        <v>19192.380833333333</v>
      </c>
      <c r="I15" s="441">
        <f t="shared" si="0"/>
        <v>0</v>
      </c>
      <c r="J15" s="440">
        <f t="shared" si="0"/>
        <v>19572.380833333333</v>
      </c>
      <c r="K15" s="441">
        <f t="shared" si="0"/>
        <v>0</v>
      </c>
      <c r="L15" s="440">
        <f t="shared" si="0"/>
        <v>21472.380833333333</v>
      </c>
      <c r="M15" s="441">
        <f t="shared" si="0"/>
        <v>0</v>
      </c>
      <c r="N15" s="440">
        <f t="shared" si="0"/>
        <v>21472.380833333333</v>
      </c>
      <c r="O15" s="441">
        <f t="shared" si="0"/>
        <v>0</v>
      </c>
      <c r="P15" s="49"/>
      <c r="Q15" s="49"/>
      <c r="R15" s="49"/>
      <c r="S15" s="49"/>
      <c r="T15" s="49"/>
      <c r="U15" s="49"/>
      <c r="V15" s="49"/>
      <c r="W15" s="49"/>
      <c r="X15" s="49"/>
      <c r="Y15" s="49"/>
      <c r="Z15" s="49"/>
      <c r="AA15" s="49"/>
      <c r="AB15" s="49"/>
      <c r="AC15" s="49"/>
      <c r="AD15" s="49"/>
      <c r="AE15" s="49"/>
      <c r="AF15" s="49"/>
      <c r="AG15" s="699"/>
    </row>
    <row r="16" spans="1:33" ht="15.75" x14ac:dyDescent="0.2">
      <c r="A16" s="419" t="s">
        <v>300</v>
      </c>
      <c r="B16" s="420" t="s">
        <v>301</v>
      </c>
      <c r="C16" s="442"/>
      <c r="D16" s="443"/>
      <c r="E16" s="444"/>
      <c r="F16" s="443"/>
      <c r="G16" s="444"/>
      <c r="H16" s="443"/>
      <c r="I16" s="444"/>
      <c r="J16" s="443"/>
      <c r="K16" s="444"/>
      <c r="L16" s="445"/>
      <c r="M16" s="444"/>
      <c r="N16" s="443"/>
      <c r="O16" s="444"/>
      <c r="P16" s="54"/>
      <c r="Q16" s="111"/>
      <c r="R16" s="971" t="s">
        <v>363</v>
      </c>
      <c r="S16" s="972"/>
      <c r="T16" s="971" t="s">
        <v>364</v>
      </c>
      <c r="U16" s="972"/>
      <c r="V16" s="971" t="s">
        <v>365</v>
      </c>
      <c r="W16" s="972"/>
      <c r="X16" s="971" t="s">
        <v>366</v>
      </c>
      <c r="Y16" s="972"/>
      <c r="Z16" s="971" t="s">
        <v>367</v>
      </c>
      <c r="AA16" s="972"/>
      <c r="AB16" s="971" t="s">
        <v>368</v>
      </c>
      <c r="AC16" s="972"/>
      <c r="AD16" s="59" t="s">
        <v>253</v>
      </c>
      <c r="AE16" s="60"/>
      <c r="AF16" s="49"/>
      <c r="AG16" s="699"/>
    </row>
    <row r="17" spans="1:33" ht="15" x14ac:dyDescent="0.2">
      <c r="A17" s="426"/>
      <c r="B17" s="446" t="s">
        <v>351</v>
      </c>
      <c r="C17" s="447"/>
      <c r="D17" s="429">
        <f>R8*1.19</f>
        <v>7140</v>
      </c>
      <c r="E17" s="429"/>
      <c r="F17" s="448">
        <f>T8*1.19</f>
        <v>9520</v>
      </c>
      <c r="G17" s="448"/>
      <c r="H17" s="448">
        <f>V8*1.19</f>
        <v>11900</v>
      </c>
      <c r="I17" s="448"/>
      <c r="J17" s="429">
        <f>X8*1.19</f>
        <v>23800</v>
      </c>
      <c r="K17" s="448"/>
      <c r="L17" s="448">
        <f>Z8*1.19</f>
        <v>23800</v>
      </c>
      <c r="M17" s="429"/>
      <c r="N17" s="448">
        <f>AB8*1.19</f>
        <v>23800</v>
      </c>
      <c r="O17" s="791"/>
      <c r="P17" s="42"/>
      <c r="Q17" s="43"/>
      <c r="R17" s="44" t="s">
        <v>289</v>
      </c>
      <c r="S17" s="45" t="s">
        <v>35</v>
      </c>
      <c r="T17" s="44" t="s">
        <v>289</v>
      </c>
      <c r="U17" s="45" t="s">
        <v>35</v>
      </c>
      <c r="V17" s="44" t="s">
        <v>289</v>
      </c>
      <c r="W17" s="45" t="s">
        <v>35</v>
      </c>
      <c r="X17" s="44" t="s">
        <v>289</v>
      </c>
      <c r="Y17" s="45" t="s">
        <v>35</v>
      </c>
      <c r="Z17" s="44" t="s">
        <v>289</v>
      </c>
      <c r="AA17" s="45" t="s">
        <v>35</v>
      </c>
      <c r="AB17" s="44" t="s">
        <v>289</v>
      </c>
      <c r="AC17" s="45" t="s">
        <v>35</v>
      </c>
      <c r="AD17" s="50" t="s">
        <v>289</v>
      </c>
      <c r="AE17" s="50" t="s">
        <v>35</v>
      </c>
      <c r="AF17" s="49"/>
      <c r="AG17" s="699"/>
    </row>
    <row r="18" spans="1:33" ht="15" x14ac:dyDescent="0.2">
      <c r="A18" s="426"/>
      <c r="B18" s="446" t="s">
        <v>352</v>
      </c>
      <c r="C18" s="449"/>
      <c r="D18" s="434">
        <f>R9</f>
        <v>0</v>
      </c>
      <c r="E18" s="796"/>
      <c r="F18" s="450">
        <f>T9</f>
        <v>0</v>
      </c>
      <c r="G18" s="793"/>
      <c r="H18" s="450">
        <f>V9</f>
        <v>0</v>
      </c>
      <c r="I18" s="793"/>
      <c r="J18" s="434">
        <f>X9</f>
        <v>0</v>
      </c>
      <c r="K18" s="793"/>
      <c r="L18" s="450">
        <f>Z9</f>
        <v>0</v>
      </c>
      <c r="M18" s="796"/>
      <c r="N18" s="450">
        <f>AB9</f>
        <v>0</v>
      </c>
      <c r="O18" s="793"/>
      <c r="P18" s="49"/>
      <c r="Q18" s="47"/>
      <c r="R18" s="781" t="s">
        <v>249</v>
      </c>
      <c r="S18" s="782"/>
      <c r="T18" s="782"/>
      <c r="U18" s="782"/>
      <c r="V18" s="782"/>
      <c r="W18" s="782"/>
      <c r="X18" s="782"/>
      <c r="Y18" s="782"/>
      <c r="Z18" s="782"/>
      <c r="AA18" s="782"/>
      <c r="AB18" s="782"/>
      <c r="AC18" s="783"/>
      <c r="AD18" s="61"/>
      <c r="AE18" s="61"/>
      <c r="AF18" s="62"/>
      <c r="AG18" s="699"/>
    </row>
    <row r="19" spans="1:33" ht="15" x14ac:dyDescent="0.2">
      <c r="A19" s="431"/>
      <c r="B19" s="432" t="s">
        <v>353</v>
      </c>
      <c r="C19" s="451"/>
      <c r="D19" s="435"/>
      <c r="E19" s="797"/>
      <c r="F19" s="452"/>
      <c r="G19" s="794"/>
      <c r="H19" s="435"/>
      <c r="I19" s="795"/>
      <c r="J19" s="435"/>
      <c r="K19" s="795"/>
      <c r="L19" s="452"/>
      <c r="M19" s="797"/>
      <c r="N19" s="452"/>
      <c r="O19" s="795"/>
      <c r="P19" s="49"/>
      <c r="Q19" s="48" t="s">
        <v>292</v>
      </c>
      <c r="R19" s="784">
        <f>(Rentabilitätsvorschau!C14 / 100)*S19</f>
        <v>20000</v>
      </c>
      <c r="S19" s="789">
        <v>10</v>
      </c>
      <c r="T19" s="787">
        <f>(Rentabilitätsvorschau!C14 / 100)*U19</f>
        <v>12000</v>
      </c>
      <c r="U19" s="789">
        <v>6</v>
      </c>
      <c r="V19" s="787">
        <f>(Rentabilitätsvorschau!C14 / 100)*W19</f>
        <v>12000</v>
      </c>
      <c r="W19" s="789">
        <v>6</v>
      </c>
      <c r="X19" s="787">
        <f>(Rentabilitätsvorschau!C14 / 100)*Y19</f>
        <v>20000</v>
      </c>
      <c r="Y19" s="789">
        <v>10</v>
      </c>
      <c r="Z19" s="787">
        <f>(Rentabilitätsvorschau!C14 / 100)*AA19</f>
        <v>24000</v>
      </c>
      <c r="AA19" s="789">
        <v>12</v>
      </c>
      <c r="AB19" s="787">
        <f>(Rentabilitätsvorschau!C14 / 100)*AC19</f>
        <v>28000</v>
      </c>
      <c r="AC19" s="789">
        <v>14</v>
      </c>
      <c r="AD19" s="50">
        <f>AB19+Z19+X19+V19+T19+R19++R8+T8+V8+X8+Z8+AB8</f>
        <v>200000</v>
      </c>
      <c r="AE19" s="790">
        <f>AC19+AA19+Y19+W19+U19+AC8+AA8+Y8+W8+S8+U8+S19</f>
        <v>100</v>
      </c>
      <c r="AF19" s="63" t="str">
        <f>IF(AE19=100,"","Falsch")</f>
        <v/>
      </c>
      <c r="AG19" s="699"/>
    </row>
    <row r="20" spans="1:33" ht="15" x14ac:dyDescent="0.2">
      <c r="A20" s="431"/>
      <c r="B20" s="432" t="s">
        <v>302</v>
      </c>
      <c r="C20" s="451"/>
      <c r="D20" s="435">
        <f>(Investitionsplan!F20/100)*19</f>
        <v>20425</v>
      </c>
      <c r="E20" s="797"/>
      <c r="F20" s="452">
        <f>(D8+D9+D14)*19/119</f>
        <v>1638.7974999999997</v>
      </c>
      <c r="G20" s="436"/>
      <c r="H20" s="435">
        <f>(F8+F9+F14)*19/119</f>
        <v>1638.7974999999997</v>
      </c>
      <c r="I20" s="452"/>
      <c r="J20" s="435">
        <f>(H8+H9+H14)*19/119</f>
        <v>1638.7974999999997</v>
      </c>
      <c r="K20" s="452"/>
      <c r="L20" s="452">
        <f>(J8+J9+J14)*19/119</f>
        <v>1638.7974999999997</v>
      </c>
      <c r="M20" s="435"/>
      <c r="N20" s="452">
        <f>(L8+L9+L14)*19/119</f>
        <v>1638.7974999999997</v>
      </c>
      <c r="O20" s="795"/>
      <c r="P20" s="49"/>
      <c r="Q20" s="50" t="s">
        <v>294</v>
      </c>
      <c r="R20" s="784">
        <f>(Rentabilitätsvorschau!C17 / 100)*S20</f>
        <v>0</v>
      </c>
      <c r="S20" s="789">
        <v>0</v>
      </c>
      <c r="T20" s="787">
        <f>(Rentabilitätsvorschau!C17 / 100)*U20</f>
        <v>0</v>
      </c>
      <c r="U20" s="789">
        <v>0</v>
      </c>
      <c r="V20" s="787">
        <f>(Rentabilitätsvorschau!C17 / 100)*W20</f>
        <v>0</v>
      </c>
      <c r="W20" s="789">
        <v>0</v>
      </c>
      <c r="X20" s="787">
        <f>(Rentabilitätsvorschau!C17 / 100)*Y20</f>
        <v>0</v>
      </c>
      <c r="Y20" s="789">
        <v>0</v>
      </c>
      <c r="Z20" s="787">
        <f>(Rentabilitätsvorschau!C17 / 100)*AA20</f>
        <v>0</v>
      </c>
      <c r="AA20" s="789">
        <v>0</v>
      </c>
      <c r="AB20" s="787">
        <f>(Rentabilitätsvorschau!C17/100)*AC20</f>
        <v>0</v>
      </c>
      <c r="AC20" s="789">
        <v>0</v>
      </c>
      <c r="AD20" s="61">
        <f>AB20+Z20+X20+V20+AB9+Z9+X9+V9+T20+T9+R9+R20</f>
        <v>0</v>
      </c>
      <c r="AE20" s="61">
        <f>AC20+AA20+Y20+W20+S20+S9+U9+W9+Y9+AA9+AC9+U20</f>
        <v>0</v>
      </c>
      <c r="AF20" s="62" t="str">
        <f>IF(AE20=100,"","Falsch")</f>
        <v>Falsch</v>
      </c>
      <c r="AG20" s="699"/>
    </row>
    <row r="21" spans="1:33" ht="15" x14ac:dyDescent="0.2">
      <c r="A21" s="431"/>
      <c r="B21" s="432" t="s">
        <v>303</v>
      </c>
      <c r="C21" s="451"/>
      <c r="D21" s="435"/>
      <c r="E21" s="797"/>
      <c r="F21" s="452"/>
      <c r="G21" s="794"/>
      <c r="H21" s="435"/>
      <c r="I21" s="795"/>
      <c r="J21" s="435"/>
      <c r="K21" s="795"/>
      <c r="L21" s="452"/>
      <c r="M21" s="797"/>
      <c r="N21" s="452"/>
      <c r="O21" s="795"/>
      <c r="P21" s="54"/>
      <c r="Q21" s="50" t="s">
        <v>295</v>
      </c>
      <c r="R21" s="787"/>
      <c r="S21" s="786"/>
      <c r="T21" s="787"/>
      <c r="U21" s="786"/>
      <c r="V21" s="788"/>
      <c r="W21" s="786"/>
      <c r="X21" s="788"/>
      <c r="Y21" s="786"/>
      <c r="Z21" s="788"/>
      <c r="AA21" s="786"/>
      <c r="AB21" s="788"/>
      <c r="AC21" s="786"/>
      <c r="AD21" s="64"/>
      <c r="AE21" s="64"/>
      <c r="AF21" s="64"/>
      <c r="AG21" s="699"/>
    </row>
    <row r="22" spans="1:33" ht="15.75" x14ac:dyDescent="0.25">
      <c r="A22" s="437"/>
      <c r="B22" s="438" t="s">
        <v>259</v>
      </c>
      <c r="C22" s="453"/>
      <c r="D22" s="440">
        <f t="shared" ref="D22:O22" si="1">SUM(D17:D21)</f>
        <v>27565</v>
      </c>
      <c r="E22" s="454">
        <f t="shared" si="1"/>
        <v>0</v>
      </c>
      <c r="F22" s="455">
        <f t="shared" si="1"/>
        <v>11158.797500000001</v>
      </c>
      <c r="G22" s="441">
        <f t="shared" si="1"/>
        <v>0</v>
      </c>
      <c r="H22" s="440">
        <f t="shared" si="1"/>
        <v>13538.797500000001</v>
      </c>
      <c r="I22" s="441">
        <f t="shared" si="1"/>
        <v>0</v>
      </c>
      <c r="J22" s="440">
        <f t="shared" si="1"/>
        <v>25438.797500000001</v>
      </c>
      <c r="K22" s="441">
        <f t="shared" si="1"/>
        <v>0</v>
      </c>
      <c r="L22" s="455">
        <f t="shared" si="1"/>
        <v>25438.797500000001</v>
      </c>
      <c r="M22" s="454">
        <f t="shared" si="1"/>
        <v>0</v>
      </c>
      <c r="N22" s="455">
        <f t="shared" si="1"/>
        <v>25438.797500000001</v>
      </c>
      <c r="O22" s="441">
        <f t="shared" si="1"/>
        <v>0</v>
      </c>
      <c r="P22" s="55"/>
      <c r="Q22" s="50" t="s">
        <v>297</v>
      </c>
      <c r="R22" s="51"/>
      <c r="S22" s="52"/>
      <c r="T22" s="51"/>
      <c r="U22" s="65"/>
      <c r="V22" s="53"/>
      <c r="W22" s="52"/>
      <c r="X22" s="53"/>
      <c r="Y22" s="52"/>
      <c r="Z22" s="53"/>
      <c r="AA22" s="52"/>
      <c r="AB22" s="53"/>
      <c r="AC22" s="52"/>
      <c r="AD22" s="43"/>
      <c r="AE22" s="43"/>
      <c r="AF22" s="43"/>
      <c r="AG22" s="699"/>
    </row>
    <row r="23" spans="1:33" ht="15.75" x14ac:dyDescent="0.2">
      <c r="A23" s="456"/>
      <c r="B23" s="457" t="s">
        <v>304</v>
      </c>
      <c r="C23" s="458"/>
      <c r="D23" s="459">
        <f>D22-D15</f>
        <v>9892.6191666666673</v>
      </c>
      <c r="E23" s="460">
        <f t="shared" ref="E23:O23" si="2">E22-E15</f>
        <v>0</v>
      </c>
      <c r="F23" s="461">
        <f t="shared" si="2"/>
        <v>-7653.5833333333321</v>
      </c>
      <c r="G23" s="462">
        <f t="shared" si="2"/>
        <v>0</v>
      </c>
      <c r="H23" s="459">
        <f t="shared" si="2"/>
        <v>-5653.5833333333321</v>
      </c>
      <c r="I23" s="462">
        <f t="shared" si="2"/>
        <v>0</v>
      </c>
      <c r="J23" s="459">
        <f t="shared" si="2"/>
        <v>5866.4166666666679</v>
      </c>
      <c r="K23" s="462">
        <f t="shared" si="2"/>
        <v>0</v>
      </c>
      <c r="L23" s="459">
        <f t="shared" si="2"/>
        <v>3966.4166666666679</v>
      </c>
      <c r="M23" s="460">
        <f t="shared" si="2"/>
        <v>0</v>
      </c>
      <c r="N23" s="461">
        <f t="shared" si="2"/>
        <v>3966.4166666666679</v>
      </c>
      <c r="O23" s="463">
        <f t="shared" si="2"/>
        <v>0</v>
      </c>
      <c r="P23" s="42"/>
      <c r="Q23" s="55"/>
      <c r="R23" s="55"/>
      <c r="S23" s="55"/>
      <c r="T23" s="40"/>
      <c r="U23" s="40"/>
      <c r="V23" s="40"/>
      <c r="W23" s="40"/>
      <c r="X23" s="40"/>
      <c r="Y23" s="40"/>
      <c r="Z23" s="40"/>
      <c r="AA23" s="40"/>
      <c r="AB23" s="699"/>
      <c r="AC23" s="699"/>
      <c r="AD23" s="699"/>
      <c r="AE23" s="699"/>
      <c r="AF23" s="699"/>
      <c r="AG23" s="699"/>
    </row>
    <row r="24" spans="1:33" ht="15.75" x14ac:dyDescent="0.2">
      <c r="A24" s="464" t="s">
        <v>305</v>
      </c>
      <c r="B24" s="465" t="s">
        <v>306</v>
      </c>
      <c r="C24" s="466"/>
      <c r="D24" s="467"/>
      <c r="E24" s="468"/>
      <c r="F24" s="467"/>
      <c r="G24" s="468"/>
      <c r="H24" s="467"/>
      <c r="I24" s="468"/>
      <c r="J24" s="467"/>
      <c r="K24" s="468"/>
      <c r="L24" s="467"/>
      <c r="M24" s="468"/>
      <c r="N24" s="467"/>
      <c r="O24" s="468"/>
      <c r="P24" s="55"/>
      <c r="Q24" s="56"/>
      <c r="R24" s="56"/>
      <c r="S24" s="56"/>
      <c r="T24" s="41"/>
      <c r="U24" s="41"/>
      <c r="V24" s="41"/>
      <c r="W24" s="41"/>
      <c r="X24" s="41"/>
      <c r="Y24" s="41"/>
      <c r="Z24" s="41"/>
      <c r="AA24" s="41"/>
      <c r="AB24" s="699"/>
      <c r="AC24" s="699"/>
      <c r="AD24" s="699"/>
      <c r="AE24" s="699"/>
      <c r="AF24" s="699"/>
      <c r="AG24" s="699"/>
    </row>
    <row r="25" spans="1:33" ht="15.75" x14ac:dyDescent="0.2">
      <c r="A25" s="469"/>
      <c r="B25" s="470" t="s">
        <v>307</v>
      </c>
      <c r="C25" s="471"/>
      <c r="D25" s="798"/>
      <c r="E25" s="799"/>
      <c r="F25" s="800"/>
      <c r="G25" s="801"/>
      <c r="H25" s="798"/>
      <c r="I25" s="799"/>
      <c r="J25" s="798"/>
      <c r="K25" s="799"/>
      <c r="L25" s="798"/>
      <c r="M25" s="799"/>
      <c r="N25" s="798"/>
      <c r="O25" s="799"/>
      <c r="P25" s="56"/>
      <c r="Q25" s="55"/>
      <c r="R25" s="55"/>
      <c r="S25" s="55"/>
      <c r="T25" s="40"/>
      <c r="U25" s="40"/>
      <c r="V25" s="40"/>
      <c r="W25" s="40"/>
      <c r="X25" s="40"/>
      <c r="Y25" s="40"/>
      <c r="Z25" s="40"/>
      <c r="AA25" s="40"/>
      <c r="AB25" s="699"/>
      <c r="AC25" s="699"/>
      <c r="AD25" s="699"/>
      <c r="AE25" s="699"/>
      <c r="AF25" s="699"/>
      <c r="AG25" s="699"/>
    </row>
    <row r="26" spans="1:33" ht="15.75" x14ac:dyDescent="0.2">
      <c r="A26" s="472"/>
      <c r="B26" s="473" t="s">
        <v>308</v>
      </c>
      <c r="C26" s="474"/>
      <c r="D26" s="475">
        <f>Investitionsplan!F32</f>
        <v>32500</v>
      </c>
      <c r="E26" s="802"/>
      <c r="F26" s="803"/>
      <c r="G26" s="477"/>
      <c r="H26" s="475"/>
      <c r="I26" s="802"/>
      <c r="J26" s="475"/>
      <c r="K26" s="802"/>
      <c r="L26" s="475"/>
      <c r="M26" s="802"/>
      <c r="N26" s="475"/>
      <c r="O26" s="802"/>
      <c r="P26" s="56"/>
      <c r="Q26" s="42"/>
      <c r="R26" s="42"/>
      <c r="S26" s="42"/>
      <c r="T26" s="42"/>
      <c r="U26" s="42"/>
      <c r="V26" s="42"/>
      <c r="W26" s="42"/>
      <c r="X26" s="42"/>
      <c r="Y26" s="42"/>
      <c r="Z26" s="42"/>
      <c r="AA26" s="42"/>
      <c r="AB26" s="699"/>
      <c r="AC26" s="699"/>
      <c r="AD26" s="699"/>
      <c r="AE26" s="699"/>
      <c r="AF26" s="699"/>
      <c r="AG26" s="699"/>
    </row>
    <row r="27" spans="1:33" ht="15.75" x14ac:dyDescent="0.2">
      <c r="A27" s="472"/>
      <c r="B27" s="473" t="s">
        <v>309</v>
      </c>
      <c r="C27" s="474"/>
      <c r="D27" s="475"/>
      <c r="E27" s="802"/>
      <c r="F27" s="803"/>
      <c r="G27" s="477"/>
      <c r="H27" s="475"/>
      <c r="I27" s="802"/>
      <c r="J27" s="475"/>
      <c r="K27" s="802"/>
      <c r="L27" s="475"/>
      <c r="M27" s="802"/>
      <c r="N27" s="475"/>
      <c r="O27" s="802"/>
      <c r="P27" s="55"/>
      <c r="Q27" s="55"/>
      <c r="R27" s="55"/>
      <c r="S27" s="55"/>
      <c r="T27" s="40"/>
      <c r="U27" s="40"/>
      <c r="V27" s="40"/>
      <c r="W27" s="40"/>
      <c r="X27" s="40"/>
      <c r="Y27" s="40"/>
      <c r="Z27" s="40"/>
      <c r="AA27" s="40"/>
      <c r="AB27" s="40"/>
      <c r="AC27" s="40"/>
      <c r="AD27" s="40"/>
      <c r="AE27" s="40"/>
      <c r="AF27" s="40"/>
    </row>
    <row r="28" spans="1:33" ht="15.75" x14ac:dyDescent="0.2">
      <c r="A28" s="476"/>
      <c r="B28" s="477" t="s">
        <v>310</v>
      </c>
      <c r="C28" s="478"/>
      <c r="D28" s="475"/>
      <c r="E28" s="802"/>
      <c r="F28" s="803"/>
      <c r="G28" s="477"/>
      <c r="H28" s="475"/>
      <c r="I28" s="802"/>
      <c r="J28" s="475"/>
      <c r="K28" s="802"/>
      <c r="L28" s="475"/>
      <c r="M28" s="802"/>
      <c r="N28" s="475"/>
      <c r="O28" s="802"/>
      <c r="P28" s="42"/>
      <c r="Q28" s="55"/>
      <c r="R28" s="55"/>
      <c r="S28" s="55"/>
      <c r="T28" s="40"/>
      <c r="U28" s="40"/>
      <c r="V28" s="40"/>
      <c r="W28" s="40"/>
      <c r="X28" s="40"/>
      <c r="Y28" s="40"/>
      <c r="Z28" s="40"/>
      <c r="AA28" s="40"/>
      <c r="AB28" s="41"/>
      <c r="AC28" s="41"/>
      <c r="AD28" s="41"/>
      <c r="AE28" s="41"/>
      <c r="AF28" s="41"/>
    </row>
    <row r="29" spans="1:33" ht="15.75" x14ac:dyDescent="0.2">
      <c r="A29" s="479" t="s">
        <v>311</v>
      </c>
      <c r="B29" s="468" t="s">
        <v>312</v>
      </c>
      <c r="C29" s="480"/>
      <c r="D29" s="481"/>
      <c r="E29" s="468"/>
      <c r="F29" s="467"/>
      <c r="G29" s="468"/>
      <c r="H29" s="467"/>
      <c r="I29" s="468"/>
      <c r="J29" s="467"/>
      <c r="K29" s="468"/>
      <c r="L29" s="467"/>
      <c r="M29" s="468"/>
      <c r="N29" s="467"/>
      <c r="O29" s="482"/>
      <c r="P29" s="55"/>
      <c r="Q29" s="55"/>
      <c r="R29" s="56"/>
      <c r="S29" s="56"/>
      <c r="T29" s="41"/>
      <c r="U29" s="41"/>
      <c r="V29" s="41"/>
      <c r="W29" s="41"/>
      <c r="X29" s="41"/>
      <c r="Y29" s="41"/>
      <c r="Z29" s="41"/>
      <c r="AA29" s="41"/>
    </row>
    <row r="30" spans="1:33" ht="15.75" x14ac:dyDescent="0.2">
      <c r="A30" s="469"/>
      <c r="B30" s="470" t="s">
        <v>47</v>
      </c>
      <c r="C30" s="471"/>
      <c r="D30" s="798"/>
      <c r="E30" s="799"/>
      <c r="F30" s="800"/>
      <c r="G30" s="801"/>
      <c r="H30" s="798"/>
      <c r="I30" s="799"/>
      <c r="J30" s="798"/>
      <c r="K30" s="799"/>
      <c r="L30" s="798"/>
      <c r="M30" s="799"/>
      <c r="N30" s="798"/>
      <c r="O30" s="799"/>
      <c r="P30" s="56"/>
      <c r="Q30" s="55"/>
      <c r="R30" s="56"/>
      <c r="S30" s="56"/>
      <c r="T30" s="41"/>
      <c r="U30" s="41"/>
      <c r="V30" s="41"/>
      <c r="W30" s="41"/>
      <c r="X30" s="41"/>
      <c r="Y30" s="41"/>
      <c r="Z30" s="41"/>
      <c r="AA30" s="41"/>
    </row>
    <row r="31" spans="1:33" ht="15.75" x14ac:dyDescent="0.2">
      <c r="A31" s="472"/>
      <c r="B31" s="473" t="s">
        <v>307</v>
      </c>
      <c r="C31" s="474"/>
      <c r="D31" s="475"/>
      <c r="E31" s="802"/>
      <c r="F31" s="803"/>
      <c r="G31" s="477"/>
      <c r="H31" s="475"/>
      <c r="I31" s="802"/>
      <c r="J31" s="475"/>
      <c r="K31" s="802"/>
      <c r="L31" s="475"/>
      <c r="M31" s="802"/>
      <c r="N31" s="475"/>
      <c r="O31" s="802"/>
      <c r="P31" s="56"/>
      <c r="Q31" s="42"/>
      <c r="R31" s="42"/>
      <c r="S31" s="42"/>
      <c r="T31" s="42"/>
      <c r="U31" s="42"/>
      <c r="V31" s="42"/>
      <c r="W31" s="42"/>
      <c r="X31" s="42"/>
      <c r="Y31" s="42"/>
      <c r="Z31" s="42"/>
      <c r="AA31" s="42"/>
    </row>
    <row r="32" spans="1:33" ht="15.75" x14ac:dyDescent="0.2">
      <c r="A32" s="476"/>
      <c r="B32" s="477" t="s">
        <v>313</v>
      </c>
      <c r="C32" s="478"/>
      <c r="D32" s="475"/>
      <c r="E32" s="802"/>
      <c r="F32" s="803"/>
      <c r="G32" s="477"/>
      <c r="H32" s="475"/>
      <c r="I32" s="802"/>
      <c r="J32" s="475"/>
      <c r="K32" s="802"/>
      <c r="L32" s="475"/>
      <c r="M32" s="802"/>
      <c r="N32" s="475"/>
      <c r="O32" s="802"/>
      <c r="P32" s="42"/>
      <c r="Q32" s="46"/>
      <c r="R32" s="55"/>
      <c r="S32" s="55"/>
      <c r="T32" s="55"/>
      <c r="U32" s="55"/>
      <c r="V32" s="55"/>
      <c r="W32" s="55"/>
      <c r="X32" s="55"/>
      <c r="Y32" s="55"/>
      <c r="Z32" s="55"/>
      <c r="AA32" s="55"/>
    </row>
    <row r="33" spans="1:27" ht="15.75" x14ac:dyDescent="0.2">
      <c r="A33" s="479" t="s">
        <v>314</v>
      </c>
      <c r="B33" s="468" t="s">
        <v>315</v>
      </c>
      <c r="C33" s="480"/>
      <c r="D33" s="481"/>
      <c r="E33" s="468"/>
      <c r="F33" s="467"/>
      <c r="G33" s="468"/>
      <c r="H33" s="467"/>
      <c r="I33" s="468"/>
      <c r="J33" s="467"/>
      <c r="K33" s="468"/>
      <c r="L33" s="467"/>
      <c r="M33" s="468"/>
      <c r="N33" s="467"/>
      <c r="O33" s="482"/>
      <c r="P33" s="55"/>
      <c r="Q33" s="42"/>
      <c r="R33" s="56"/>
      <c r="S33" s="56"/>
      <c r="T33" s="56"/>
      <c r="U33" s="56"/>
      <c r="V33" s="56"/>
      <c r="W33" s="56"/>
      <c r="X33" s="56"/>
      <c r="Y33" s="56"/>
      <c r="Z33" s="56"/>
      <c r="AA33" s="56"/>
    </row>
    <row r="34" spans="1:27" ht="15" x14ac:dyDescent="0.2">
      <c r="A34" s="483"/>
      <c r="B34" s="470" t="s">
        <v>316</v>
      </c>
      <c r="C34" s="471"/>
      <c r="D34" s="484">
        <f t="shared" ref="D34:O34" si="3">ROUND(D23+SUM(D25:D28)-SUM(D30:D32),2)</f>
        <v>42392.62</v>
      </c>
      <c r="E34" s="485">
        <f t="shared" si="3"/>
        <v>0</v>
      </c>
      <c r="F34" s="484">
        <f t="shared" si="3"/>
        <v>-7653.58</v>
      </c>
      <c r="G34" s="485">
        <f t="shared" si="3"/>
        <v>0</v>
      </c>
      <c r="H34" s="484">
        <f t="shared" si="3"/>
        <v>-5653.58</v>
      </c>
      <c r="I34" s="485">
        <f t="shared" si="3"/>
        <v>0</v>
      </c>
      <c r="J34" s="484">
        <f t="shared" si="3"/>
        <v>5866.42</v>
      </c>
      <c r="K34" s="485">
        <f t="shared" si="3"/>
        <v>0</v>
      </c>
      <c r="L34" s="484">
        <f t="shared" si="3"/>
        <v>3966.42</v>
      </c>
      <c r="M34" s="485">
        <f t="shared" si="3"/>
        <v>0</v>
      </c>
      <c r="N34" s="484">
        <f t="shared" si="3"/>
        <v>3966.42</v>
      </c>
      <c r="O34" s="486">
        <f t="shared" si="3"/>
        <v>0</v>
      </c>
      <c r="P34" s="56"/>
      <c r="Q34" s="49"/>
      <c r="R34" s="49"/>
      <c r="S34" s="49"/>
      <c r="T34" s="49"/>
      <c r="U34" s="49"/>
      <c r="V34" s="49"/>
      <c r="W34" s="49"/>
      <c r="X34" s="49"/>
      <c r="Y34" s="49"/>
      <c r="Z34" s="49"/>
      <c r="AA34" s="49"/>
    </row>
    <row r="35" spans="1:27" ht="15" x14ac:dyDescent="0.2">
      <c r="A35" s="487"/>
      <c r="B35" s="473" t="s">
        <v>317</v>
      </c>
      <c r="C35" s="474"/>
      <c r="D35" s="488">
        <f>D30-D25</f>
        <v>0</v>
      </c>
      <c r="E35" s="489">
        <f>E31-E25</f>
        <v>0</v>
      </c>
      <c r="F35" s="488">
        <f t="shared" ref="F35:O35" si="4">D35+F31-F25</f>
        <v>0</v>
      </c>
      <c r="G35" s="489">
        <f t="shared" si="4"/>
        <v>0</v>
      </c>
      <c r="H35" s="488">
        <f t="shared" si="4"/>
        <v>0</v>
      </c>
      <c r="I35" s="489">
        <f t="shared" si="4"/>
        <v>0</v>
      </c>
      <c r="J35" s="488">
        <f t="shared" si="4"/>
        <v>0</v>
      </c>
      <c r="K35" s="489">
        <f t="shared" si="4"/>
        <v>0</v>
      </c>
      <c r="L35" s="488">
        <f t="shared" si="4"/>
        <v>0</v>
      </c>
      <c r="M35" s="489">
        <f t="shared" si="4"/>
        <v>0</v>
      </c>
      <c r="N35" s="488">
        <f t="shared" si="4"/>
        <v>0</v>
      </c>
      <c r="O35" s="489">
        <f t="shared" si="4"/>
        <v>0</v>
      </c>
      <c r="P35" s="56"/>
      <c r="Q35" s="49"/>
      <c r="R35" s="49"/>
      <c r="S35" s="49"/>
      <c r="T35" s="49"/>
      <c r="U35" s="49"/>
      <c r="V35" s="49"/>
      <c r="W35" s="49"/>
      <c r="X35" s="49"/>
      <c r="Y35" s="49"/>
      <c r="Z35" s="49"/>
      <c r="AA35" s="49"/>
    </row>
    <row r="36" spans="1:27" ht="15.75" x14ac:dyDescent="0.2">
      <c r="A36" s="472"/>
      <c r="B36" s="473" t="s">
        <v>318</v>
      </c>
      <c r="C36" s="474"/>
      <c r="D36" s="488">
        <f>SUM(D32:D32)</f>
        <v>0</v>
      </c>
      <c r="E36" s="489">
        <f>SUM(E32:E32)</f>
        <v>0</v>
      </c>
      <c r="F36" s="488">
        <f t="shared" ref="F36:O36" si="5">SUM(F32:F32)-F26+D36</f>
        <v>0</v>
      </c>
      <c r="G36" s="489">
        <f t="shared" si="5"/>
        <v>0</v>
      </c>
      <c r="H36" s="488">
        <f t="shared" si="5"/>
        <v>0</v>
      </c>
      <c r="I36" s="489">
        <f t="shared" si="5"/>
        <v>0</v>
      </c>
      <c r="J36" s="488">
        <f t="shared" si="5"/>
        <v>0</v>
      </c>
      <c r="K36" s="489">
        <f t="shared" si="5"/>
        <v>0</v>
      </c>
      <c r="L36" s="488">
        <f t="shared" si="5"/>
        <v>0</v>
      </c>
      <c r="M36" s="489">
        <f t="shared" si="5"/>
        <v>0</v>
      </c>
      <c r="N36" s="488">
        <f t="shared" si="5"/>
        <v>0</v>
      </c>
      <c r="O36" s="489">
        <f t="shared" si="5"/>
        <v>0</v>
      </c>
      <c r="P36" s="56"/>
      <c r="Q36" s="49"/>
      <c r="R36" s="49"/>
      <c r="S36" s="49"/>
      <c r="T36" s="49"/>
      <c r="U36" s="49"/>
      <c r="V36" s="49"/>
      <c r="W36" s="49"/>
      <c r="X36" s="49"/>
      <c r="Y36" s="49"/>
      <c r="Z36" s="49"/>
      <c r="AA36" s="49"/>
    </row>
    <row r="37" spans="1:27" ht="15.75" x14ac:dyDescent="0.2">
      <c r="A37" s="490"/>
      <c r="B37" s="491" t="s">
        <v>319</v>
      </c>
      <c r="C37" s="492"/>
      <c r="D37" s="493">
        <f>D27+D28</f>
        <v>0</v>
      </c>
      <c r="E37" s="494">
        <f>E27+E28</f>
        <v>0</v>
      </c>
      <c r="F37" s="493">
        <f t="shared" ref="F37:O37" si="6">F27+F28+D37-F30</f>
        <v>0</v>
      </c>
      <c r="G37" s="494">
        <f t="shared" si="6"/>
        <v>0</v>
      </c>
      <c r="H37" s="493">
        <f t="shared" si="6"/>
        <v>0</v>
      </c>
      <c r="I37" s="494">
        <f t="shared" si="6"/>
        <v>0</v>
      </c>
      <c r="J37" s="493">
        <f t="shared" si="6"/>
        <v>0</v>
      </c>
      <c r="K37" s="494">
        <f t="shared" si="6"/>
        <v>0</v>
      </c>
      <c r="L37" s="493">
        <f t="shared" si="6"/>
        <v>0</v>
      </c>
      <c r="M37" s="494">
        <f t="shared" si="6"/>
        <v>0</v>
      </c>
      <c r="N37" s="493">
        <f t="shared" si="6"/>
        <v>0</v>
      </c>
      <c r="O37" s="494">
        <f t="shared" si="6"/>
        <v>0</v>
      </c>
      <c r="P37" s="55"/>
      <c r="Q37" s="49"/>
      <c r="R37" s="42"/>
      <c r="S37" s="42"/>
      <c r="T37" s="42"/>
      <c r="U37" s="42"/>
      <c r="V37" s="42"/>
      <c r="W37" s="42"/>
      <c r="X37" s="42"/>
      <c r="Y37" s="42"/>
      <c r="Z37" s="42"/>
      <c r="AA37" s="42"/>
    </row>
    <row r="38" spans="1:27" ht="15" x14ac:dyDescent="0.2">
      <c r="A38" s="495"/>
      <c r="B38" s="495"/>
      <c r="C38" s="495"/>
      <c r="D38" s="496"/>
      <c r="E38" s="495"/>
      <c r="F38" s="496"/>
      <c r="G38" s="495"/>
      <c r="H38" s="496"/>
      <c r="I38" s="495"/>
      <c r="J38" s="496"/>
      <c r="K38" s="495"/>
      <c r="L38" s="496"/>
      <c r="M38" s="495"/>
      <c r="N38" s="496"/>
      <c r="O38" s="495"/>
      <c r="P38" s="42"/>
      <c r="Q38" s="49"/>
      <c r="R38" s="55"/>
      <c r="S38" s="55"/>
      <c r="T38" s="40"/>
      <c r="U38" s="40"/>
      <c r="V38" s="40"/>
      <c r="W38" s="40"/>
      <c r="X38" s="40"/>
      <c r="Y38" s="40"/>
      <c r="Z38" s="40"/>
      <c r="AA38" s="40"/>
    </row>
    <row r="39" spans="1:27" ht="20.25" x14ac:dyDescent="0.2">
      <c r="A39" s="30" t="s">
        <v>283</v>
      </c>
      <c r="B39" s="32"/>
      <c r="C39" s="32"/>
      <c r="D39" s="33" t="s">
        <v>320</v>
      </c>
      <c r="E39" s="36"/>
      <c r="F39" s="625"/>
      <c r="G39" s="36"/>
      <c r="H39" s="625" t="str">
        <f>H1</f>
        <v>1. Jahr</v>
      </c>
      <c r="I39" s="36"/>
      <c r="J39" s="625"/>
      <c r="K39" s="36"/>
      <c r="L39" s="625"/>
      <c r="M39" s="36"/>
      <c r="N39" s="625"/>
      <c r="O39" s="626"/>
      <c r="P39" s="55"/>
      <c r="Q39" s="49"/>
      <c r="R39" s="55"/>
      <c r="S39" s="55"/>
      <c r="T39" s="40"/>
      <c r="U39" s="40"/>
      <c r="V39" s="40"/>
      <c r="W39" s="40"/>
      <c r="X39" s="40"/>
      <c r="Y39" s="40"/>
      <c r="Z39" s="40"/>
      <c r="AA39" s="40"/>
    </row>
    <row r="40" spans="1:27" ht="15" x14ac:dyDescent="0.2">
      <c r="A40" s="407"/>
      <c r="B40" s="407"/>
      <c r="C40" s="407"/>
      <c r="D40" s="408"/>
      <c r="E40" s="407"/>
      <c r="F40" s="408"/>
      <c r="G40" s="407"/>
      <c r="H40" s="408"/>
      <c r="I40" s="407"/>
      <c r="J40" s="408"/>
      <c r="K40" s="407"/>
      <c r="L40" s="408"/>
      <c r="M40" s="407"/>
      <c r="N40" s="408"/>
      <c r="O40" s="407"/>
      <c r="P40" s="55"/>
      <c r="Q40" s="54"/>
      <c r="R40" s="55"/>
      <c r="S40" s="55"/>
      <c r="T40" s="40"/>
      <c r="U40" s="40"/>
      <c r="V40" s="40"/>
      <c r="W40" s="40"/>
      <c r="X40" s="40"/>
      <c r="Y40" s="40"/>
      <c r="Z40" s="40"/>
      <c r="AA40" s="40"/>
    </row>
    <row r="41" spans="1:27" ht="15.75" x14ac:dyDescent="0.25">
      <c r="A41" s="407"/>
      <c r="B41" s="409" t="s">
        <v>285</v>
      </c>
      <c r="C41" s="407"/>
      <c r="D41" s="408"/>
      <c r="E41" s="407"/>
      <c r="F41" s="408"/>
      <c r="G41" s="407"/>
      <c r="H41" s="408"/>
      <c r="I41" s="407"/>
      <c r="J41" s="408"/>
      <c r="K41" s="407"/>
      <c r="L41" s="408"/>
      <c r="M41" s="407"/>
      <c r="N41" s="408"/>
      <c r="O41" s="407"/>
      <c r="P41" s="55"/>
      <c r="Q41" s="42"/>
      <c r="R41" s="55"/>
      <c r="S41" s="55"/>
      <c r="T41" s="40"/>
      <c r="U41" s="40"/>
      <c r="V41" s="40"/>
      <c r="W41" s="40"/>
      <c r="X41" s="40"/>
      <c r="Y41" s="40"/>
      <c r="Z41" s="40"/>
      <c r="AA41" s="40"/>
    </row>
    <row r="42" spans="1:27" ht="15" x14ac:dyDescent="0.2">
      <c r="A42" s="497"/>
      <c r="B42" s="497"/>
      <c r="C42" s="497"/>
      <c r="D42" s="498"/>
      <c r="E42" s="497"/>
      <c r="F42" s="498"/>
      <c r="G42" s="497"/>
      <c r="H42" s="498"/>
      <c r="I42" s="497"/>
      <c r="J42" s="498"/>
      <c r="K42" s="497"/>
      <c r="L42" s="498"/>
      <c r="M42" s="497"/>
      <c r="N42" s="498"/>
      <c r="O42" s="497"/>
      <c r="P42" s="55"/>
      <c r="Q42" s="49"/>
      <c r="R42" s="42"/>
      <c r="S42" s="42"/>
      <c r="T42" s="42"/>
      <c r="U42" s="42"/>
      <c r="V42" s="42"/>
      <c r="W42" s="42"/>
      <c r="X42" s="42"/>
      <c r="Y42" s="42"/>
      <c r="Z42" s="42"/>
      <c r="AA42" s="42"/>
    </row>
    <row r="43" spans="1:27" ht="15.75" x14ac:dyDescent="0.2">
      <c r="A43" s="499"/>
      <c r="B43" s="500" t="s">
        <v>286</v>
      </c>
      <c r="C43" s="501"/>
      <c r="D43" s="973" t="str">
        <f>R16</f>
        <v>Dezember</v>
      </c>
      <c r="E43" s="974"/>
      <c r="F43" s="973" t="str">
        <f>T16</f>
        <v>Januar</v>
      </c>
      <c r="G43" s="974"/>
      <c r="H43" s="973" t="str">
        <f>V16</f>
        <v>Februar</v>
      </c>
      <c r="I43" s="974"/>
      <c r="J43" s="973" t="str">
        <f>X16</f>
        <v>März</v>
      </c>
      <c r="K43" s="974"/>
      <c r="L43" s="973" t="str">
        <f>Z16</f>
        <v>April</v>
      </c>
      <c r="M43" s="974"/>
      <c r="N43" s="973" t="str">
        <f>AB16</f>
        <v>Mai</v>
      </c>
      <c r="O43" s="974"/>
      <c r="P43" s="42"/>
      <c r="Q43" s="49"/>
      <c r="R43" s="46"/>
      <c r="S43" s="46"/>
      <c r="T43" s="46"/>
      <c r="U43" s="46"/>
      <c r="V43" s="46"/>
      <c r="W43" s="46"/>
      <c r="X43" s="46"/>
      <c r="Y43" s="46"/>
      <c r="Z43" s="46"/>
      <c r="AA43" s="46"/>
    </row>
    <row r="44" spans="1:27" ht="15.75" x14ac:dyDescent="0.25">
      <c r="A44" s="502"/>
      <c r="B44" s="503"/>
      <c r="C44" s="504"/>
      <c r="D44" s="505" t="s">
        <v>287</v>
      </c>
      <c r="E44" s="504" t="s">
        <v>288</v>
      </c>
      <c r="F44" s="505" t="s">
        <v>287</v>
      </c>
      <c r="G44" s="504" t="s">
        <v>288</v>
      </c>
      <c r="H44" s="505" t="s">
        <v>287</v>
      </c>
      <c r="I44" s="504" t="s">
        <v>288</v>
      </c>
      <c r="J44" s="505" t="s">
        <v>287</v>
      </c>
      <c r="K44" s="504" t="s">
        <v>288</v>
      </c>
      <c r="L44" s="505" t="s">
        <v>287</v>
      </c>
      <c r="M44" s="504" t="s">
        <v>288</v>
      </c>
      <c r="N44" s="505" t="s">
        <v>287</v>
      </c>
      <c r="O44" s="504" t="s">
        <v>288</v>
      </c>
      <c r="P44" s="46"/>
      <c r="Q44" s="54"/>
      <c r="R44" s="54"/>
      <c r="S44" s="54"/>
      <c r="T44" s="54"/>
      <c r="U44" s="54"/>
      <c r="V44" s="54"/>
      <c r="W44" s="54"/>
      <c r="X44" s="54"/>
      <c r="Y44" s="54"/>
      <c r="Z44" s="54"/>
      <c r="AA44" s="54"/>
    </row>
    <row r="45" spans="1:27" ht="15.75" x14ac:dyDescent="0.2">
      <c r="A45" s="506" t="s">
        <v>290</v>
      </c>
      <c r="B45" s="507" t="s">
        <v>291</v>
      </c>
      <c r="C45" s="508"/>
      <c r="D45" s="509"/>
      <c r="E45" s="510"/>
      <c r="F45" s="511"/>
      <c r="G45" s="510"/>
      <c r="H45" s="511"/>
      <c r="I45" s="510"/>
      <c r="J45" s="511"/>
      <c r="K45" s="510"/>
      <c r="L45" s="511"/>
      <c r="M45" s="510"/>
      <c r="N45" s="511"/>
      <c r="O45" s="512"/>
      <c r="P45" s="42"/>
      <c r="Q45" s="55"/>
      <c r="R45" s="55"/>
      <c r="S45" s="55"/>
      <c r="T45" s="40"/>
      <c r="U45" s="40"/>
      <c r="V45" s="40"/>
      <c r="W45" s="40"/>
      <c r="X45" s="40"/>
      <c r="Y45" s="40"/>
      <c r="Z45" s="40"/>
      <c r="AA45" s="40"/>
    </row>
    <row r="46" spans="1:27" ht="15" x14ac:dyDescent="0.2">
      <c r="A46" s="513"/>
      <c r="B46" s="514" t="str">
        <f>B8</f>
        <v>Material</v>
      </c>
      <c r="C46" s="515"/>
      <c r="D46" s="429">
        <f>(Rentabilitätsvorschau!$C$15/12)*1.19</f>
        <v>6941.6666666666661</v>
      </c>
      <c r="E46" s="430"/>
      <c r="F46" s="429">
        <f>(Rentabilitätsvorschau!$C$15/12)*1.19</f>
        <v>6941.6666666666661</v>
      </c>
      <c r="G46" s="430"/>
      <c r="H46" s="429">
        <f>(Rentabilitätsvorschau!$C$15/12)*1.19</f>
        <v>6941.6666666666661</v>
      </c>
      <c r="I46" s="430"/>
      <c r="J46" s="429">
        <f>(Rentabilitätsvorschau!$C$15/12)*1.19</f>
        <v>6941.6666666666661</v>
      </c>
      <c r="K46" s="430"/>
      <c r="L46" s="429">
        <f>(Rentabilitätsvorschau!$C$15/12)*1.19</f>
        <v>6941.6666666666661</v>
      </c>
      <c r="M46" s="430"/>
      <c r="N46" s="429">
        <f>(Rentabilitätsvorschau!$C$15/12)*1.19</f>
        <v>6941.6666666666661</v>
      </c>
      <c r="O46" s="804"/>
      <c r="P46" s="49"/>
      <c r="Q46" s="42"/>
      <c r="R46" s="42"/>
      <c r="S46" s="42"/>
      <c r="T46" s="42"/>
      <c r="U46" s="42"/>
      <c r="V46" s="42"/>
      <c r="W46" s="42"/>
      <c r="X46" s="42"/>
      <c r="Y46" s="42"/>
      <c r="Z46" s="42"/>
      <c r="AA46" s="42"/>
    </row>
    <row r="47" spans="1:27" ht="15" x14ac:dyDescent="0.2">
      <c r="A47" s="513"/>
      <c r="B47" s="432" t="str">
        <f>B9</f>
        <v>Handelsware</v>
      </c>
      <c r="C47" s="433"/>
      <c r="D47" s="434">
        <f>Rentabilitätsvorschau!$C$18/12</f>
        <v>0</v>
      </c>
      <c r="E47" s="795"/>
      <c r="F47" s="434">
        <f>Rentabilitätsvorschau!$C$18/12</f>
        <v>0</v>
      </c>
      <c r="G47" s="795"/>
      <c r="H47" s="434">
        <f>Rentabilitätsvorschau!$C$18/12</f>
        <v>0</v>
      </c>
      <c r="I47" s="795"/>
      <c r="J47" s="434">
        <f>Rentabilitätsvorschau!$C$18/12</f>
        <v>0</v>
      </c>
      <c r="K47" s="795"/>
      <c r="L47" s="434">
        <f>Rentabilitätsvorschau!$C$18/12</f>
        <v>0</v>
      </c>
      <c r="M47" s="795"/>
      <c r="N47" s="434">
        <f>Rentabilitätsvorschau!$C$18/12</f>
        <v>0</v>
      </c>
      <c r="O47" s="795"/>
      <c r="P47" s="49"/>
      <c r="Q47" s="55"/>
      <c r="R47" s="55"/>
      <c r="S47" s="55"/>
      <c r="T47" s="40"/>
      <c r="U47" s="40"/>
      <c r="V47" s="40"/>
      <c r="W47" s="40"/>
      <c r="X47" s="40"/>
      <c r="Y47" s="40"/>
      <c r="Z47" s="40"/>
      <c r="AA47" s="40"/>
    </row>
    <row r="48" spans="1:27" ht="15" x14ac:dyDescent="0.2">
      <c r="A48" s="513"/>
      <c r="B48" s="432" t="str">
        <f>B10</f>
        <v>Personal</v>
      </c>
      <c r="C48" s="433"/>
      <c r="D48" s="435">
        <f>Rentabilitätsvorschau!$C$24/12</f>
        <v>3541.6666666666665</v>
      </c>
      <c r="E48" s="795"/>
      <c r="F48" s="435">
        <f>Rentabilitätsvorschau!$C$24/12</f>
        <v>3541.6666666666665</v>
      </c>
      <c r="G48" s="795"/>
      <c r="H48" s="435">
        <f>Rentabilitätsvorschau!$C$24/12</f>
        <v>3541.6666666666665</v>
      </c>
      <c r="I48" s="795"/>
      <c r="J48" s="435">
        <f>Rentabilitätsvorschau!$C$24/12</f>
        <v>3541.6666666666665</v>
      </c>
      <c r="K48" s="795"/>
      <c r="L48" s="435">
        <f>Rentabilitätsvorschau!$C$24/12</f>
        <v>3541.6666666666665</v>
      </c>
      <c r="M48" s="795"/>
      <c r="N48" s="435">
        <f>Rentabilitätsvorschau!$C$24/12</f>
        <v>3541.6666666666665</v>
      </c>
      <c r="O48" s="795"/>
      <c r="P48" s="49"/>
      <c r="Q48" s="55"/>
      <c r="R48" s="55"/>
      <c r="S48" s="55"/>
      <c r="T48" s="40"/>
      <c r="U48" s="40"/>
      <c r="V48" s="40"/>
      <c r="W48" s="40"/>
      <c r="X48" s="40"/>
      <c r="Y48" s="40"/>
      <c r="Z48" s="40"/>
      <c r="AA48" s="40"/>
    </row>
    <row r="49" spans="1:27" ht="15" x14ac:dyDescent="0.2">
      <c r="A49" s="513"/>
      <c r="B49" s="432" t="str">
        <f>B11</f>
        <v>Privatentnahmen</v>
      </c>
      <c r="C49" s="433"/>
      <c r="D49" s="435">
        <f>Rentabilitätsvorschau!$C$54/12</f>
        <v>3400</v>
      </c>
      <c r="E49" s="795"/>
      <c r="F49" s="435">
        <f>Rentabilitätsvorschau!$C$54/12</f>
        <v>3400</v>
      </c>
      <c r="G49" s="795"/>
      <c r="H49" s="435">
        <f>Rentabilitätsvorschau!$C$54/12</f>
        <v>3400</v>
      </c>
      <c r="I49" s="795"/>
      <c r="J49" s="435">
        <f>Rentabilitätsvorschau!$C$54/12</f>
        <v>3400</v>
      </c>
      <c r="K49" s="795"/>
      <c r="L49" s="435">
        <f>Rentabilitätsvorschau!$C$54/12</f>
        <v>3400</v>
      </c>
      <c r="M49" s="795"/>
      <c r="N49" s="435">
        <f>Rentabilitätsvorschau!$C$54/12</f>
        <v>3400</v>
      </c>
      <c r="O49" s="795"/>
      <c r="P49" s="49"/>
      <c r="Q49" s="56"/>
      <c r="R49" s="56"/>
      <c r="S49" s="56"/>
      <c r="T49" s="41"/>
      <c r="U49" s="41"/>
      <c r="V49" s="41"/>
      <c r="W49" s="41"/>
      <c r="X49" s="41"/>
      <c r="Y49" s="41"/>
      <c r="Z49" s="41"/>
      <c r="AA49" s="41"/>
    </row>
    <row r="50" spans="1:27" ht="15" x14ac:dyDescent="0.2">
      <c r="A50" s="513"/>
      <c r="B50" s="432" t="str">
        <f>B12</f>
        <v>Kapitaldienst</v>
      </c>
      <c r="C50" s="433"/>
      <c r="D50" s="435">
        <f>'Kapitaldienst Jahr 1-11'!C34/12</f>
        <v>466.66666666666669</v>
      </c>
      <c r="E50" s="795"/>
      <c r="F50" s="435">
        <f>'Kapitaldienst Jahr 1-11'!C34/12</f>
        <v>466.66666666666669</v>
      </c>
      <c r="G50" s="795"/>
      <c r="H50" s="435">
        <f>'Kapitaldienst Jahr 1-11'!C34/12</f>
        <v>466.66666666666669</v>
      </c>
      <c r="I50" s="795"/>
      <c r="J50" s="435">
        <f>'Kapitaldienst Jahr 1-11'!C34/12</f>
        <v>466.66666666666669</v>
      </c>
      <c r="K50" s="795"/>
      <c r="L50" s="435">
        <f>'Kapitaldienst Jahr 1-11'!C34/12</f>
        <v>466.66666666666669</v>
      </c>
      <c r="M50" s="795"/>
      <c r="N50" s="435">
        <f>'Kapitaldienst Jahr 1-11'!C34/12</f>
        <v>466.66666666666669</v>
      </c>
      <c r="O50" s="795"/>
      <c r="P50" s="49"/>
      <c r="Q50" s="56"/>
      <c r="R50" s="56"/>
      <c r="S50" s="56"/>
      <c r="T50" s="41"/>
      <c r="U50" s="41"/>
      <c r="V50" s="41"/>
      <c r="W50" s="41"/>
      <c r="X50" s="41"/>
      <c r="Y50" s="41"/>
      <c r="Z50" s="41"/>
      <c r="AA50" s="41"/>
    </row>
    <row r="51" spans="1:27" ht="15" x14ac:dyDescent="0.2">
      <c r="A51" s="513"/>
      <c r="B51" s="432" t="s">
        <v>299</v>
      </c>
      <c r="C51" s="433"/>
      <c r="D51" s="435">
        <f>(N17+N18+N19+N21)/119*19</f>
        <v>3800</v>
      </c>
      <c r="E51" s="795"/>
      <c r="F51" s="435">
        <f>(D55+D56+D57+D59)/119*19</f>
        <v>3800</v>
      </c>
      <c r="G51" s="436"/>
      <c r="H51" s="435">
        <f t="shared" ref="H51:N51" si="7">(F55+F56+F57+F59)/119*19</f>
        <v>2280</v>
      </c>
      <c r="I51" s="436"/>
      <c r="J51" s="435">
        <f t="shared" si="7"/>
        <v>2280</v>
      </c>
      <c r="K51" s="436"/>
      <c r="L51" s="435">
        <f t="shared" si="7"/>
        <v>3800</v>
      </c>
      <c r="M51" s="436"/>
      <c r="N51" s="435">
        <f t="shared" si="7"/>
        <v>4560</v>
      </c>
      <c r="O51" s="795"/>
      <c r="P51" s="49"/>
      <c r="Q51" s="56"/>
      <c r="R51" s="56"/>
      <c r="S51" s="56"/>
      <c r="T51" s="41"/>
      <c r="U51" s="41"/>
      <c r="V51" s="41"/>
      <c r="W51" s="41"/>
      <c r="X51" s="41"/>
      <c r="Y51" s="41"/>
      <c r="Z51" s="41"/>
      <c r="AA51" s="41"/>
    </row>
    <row r="52" spans="1:27" ht="15" x14ac:dyDescent="0.2">
      <c r="A52" s="513"/>
      <c r="B52" s="432" t="str">
        <f>B14</f>
        <v>Sonstige Kosten</v>
      </c>
      <c r="C52" s="433"/>
      <c r="D52" s="435">
        <f>Rentabilitätsvorschau!$C$27/12*1.19</f>
        <v>3322.3808333333332</v>
      </c>
      <c r="E52" s="436"/>
      <c r="F52" s="435">
        <f>Rentabilitätsvorschau!$C$27/12*1.19</f>
        <v>3322.3808333333332</v>
      </c>
      <c r="G52" s="436"/>
      <c r="H52" s="435">
        <f>Rentabilitätsvorschau!$C$27/12*1.19</f>
        <v>3322.3808333333332</v>
      </c>
      <c r="I52" s="436"/>
      <c r="J52" s="435">
        <f>Rentabilitätsvorschau!$C$27/12*1.19</f>
        <v>3322.3808333333332</v>
      </c>
      <c r="K52" s="436"/>
      <c r="L52" s="435">
        <f>Rentabilitätsvorschau!$C$27/12*1.19</f>
        <v>3322.3808333333332</v>
      </c>
      <c r="M52" s="436"/>
      <c r="N52" s="435">
        <f>Rentabilitätsvorschau!$C$27/12*1.19</f>
        <v>3322.3808333333332</v>
      </c>
      <c r="O52" s="795"/>
      <c r="P52" s="49"/>
      <c r="Q52" s="42"/>
      <c r="R52" s="42"/>
      <c r="S52" s="42"/>
      <c r="T52" s="42"/>
      <c r="U52" s="42"/>
      <c r="V52" s="42"/>
      <c r="W52" s="42"/>
      <c r="X52" s="42"/>
      <c r="Y52" s="42"/>
      <c r="Z52" s="42"/>
      <c r="AA52" s="42"/>
    </row>
    <row r="53" spans="1:27" ht="15.75" x14ac:dyDescent="0.25">
      <c r="A53" s="516"/>
      <c r="B53" s="438" t="s">
        <v>259</v>
      </c>
      <c r="C53" s="439"/>
      <c r="D53" s="440">
        <f t="shared" ref="D53:O53" si="8">SUM(D46:D52)</f>
        <v>21472.380833333333</v>
      </c>
      <c r="E53" s="441">
        <f t="shared" si="8"/>
        <v>0</v>
      </c>
      <c r="F53" s="440">
        <f t="shared" si="8"/>
        <v>21472.380833333333</v>
      </c>
      <c r="G53" s="441">
        <f t="shared" si="8"/>
        <v>0</v>
      </c>
      <c r="H53" s="440">
        <f t="shared" si="8"/>
        <v>19952.380833333333</v>
      </c>
      <c r="I53" s="441">
        <f t="shared" si="8"/>
        <v>0</v>
      </c>
      <c r="J53" s="440">
        <f t="shared" si="8"/>
        <v>19952.380833333333</v>
      </c>
      <c r="K53" s="441">
        <f t="shared" si="8"/>
        <v>0</v>
      </c>
      <c r="L53" s="440">
        <f t="shared" si="8"/>
        <v>21472.380833333333</v>
      </c>
      <c r="M53" s="441">
        <f t="shared" si="8"/>
        <v>0</v>
      </c>
      <c r="N53" s="440">
        <f t="shared" si="8"/>
        <v>22232.380833333333</v>
      </c>
      <c r="O53" s="441">
        <f t="shared" si="8"/>
        <v>0</v>
      </c>
      <c r="P53" s="54"/>
      <c r="Q53" s="55"/>
      <c r="R53" s="55"/>
      <c r="S53" s="55"/>
      <c r="T53" s="40"/>
      <c r="U53" s="40"/>
      <c r="V53" s="40"/>
      <c r="W53" s="40"/>
      <c r="X53" s="40"/>
      <c r="Y53" s="40"/>
      <c r="Z53" s="40"/>
      <c r="AA53" s="40"/>
    </row>
    <row r="54" spans="1:27" ht="15.75" x14ac:dyDescent="0.2">
      <c r="A54" s="506" t="s">
        <v>300</v>
      </c>
      <c r="B54" s="517" t="s">
        <v>301</v>
      </c>
      <c r="C54" s="518"/>
      <c r="D54" s="519"/>
      <c r="E54" s="520"/>
      <c r="F54" s="521"/>
      <c r="G54" s="520"/>
      <c r="H54" s="521"/>
      <c r="I54" s="520"/>
      <c r="J54" s="521"/>
      <c r="K54" s="520"/>
      <c r="L54" s="521"/>
      <c r="M54" s="520"/>
      <c r="N54" s="521"/>
      <c r="O54" s="522"/>
      <c r="P54" s="42"/>
      <c r="Q54" s="55"/>
      <c r="R54" s="55"/>
      <c r="S54" s="55"/>
      <c r="T54" s="40"/>
      <c r="U54" s="40"/>
      <c r="V54" s="40"/>
      <c r="W54" s="40"/>
      <c r="X54" s="40"/>
      <c r="Y54" s="40"/>
      <c r="Z54" s="40"/>
      <c r="AA54" s="40"/>
    </row>
    <row r="55" spans="1:27" ht="15" x14ac:dyDescent="0.2">
      <c r="A55" s="513"/>
      <c r="B55" s="432" t="str">
        <f>B17</f>
        <v>Geldeingang Handwerk</v>
      </c>
      <c r="C55" s="523"/>
      <c r="D55" s="524">
        <f>R19*1.19</f>
        <v>23800</v>
      </c>
      <c r="E55" s="525"/>
      <c r="F55" s="524">
        <f>T19*1.19</f>
        <v>14280</v>
      </c>
      <c r="G55" s="525"/>
      <c r="H55" s="524">
        <f>V19*1.19</f>
        <v>14280</v>
      </c>
      <c r="I55" s="525"/>
      <c r="J55" s="524">
        <f>X19*1.19</f>
        <v>23800</v>
      </c>
      <c r="K55" s="525"/>
      <c r="L55" s="524">
        <f>Z19*1.19</f>
        <v>28560</v>
      </c>
      <c r="M55" s="525"/>
      <c r="N55" s="524">
        <f>AB19*1.19</f>
        <v>33320</v>
      </c>
      <c r="O55" s="804"/>
      <c r="P55" s="49"/>
      <c r="Q55" s="56"/>
      <c r="R55" s="56"/>
      <c r="S55" s="56"/>
      <c r="T55" s="41"/>
      <c r="U55" s="41"/>
      <c r="V55" s="41"/>
      <c r="W55" s="41"/>
      <c r="X55" s="41"/>
      <c r="Y55" s="41"/>
      <c r="Z55" s="41"/>
      <c r="AA55" s="41"/>
    </row>
    <row r="56" spans="1:27" ht="15" x14ac:dyDescent="0.2">
      <c r="A56" s="513"/>
      <c r="B56" s="432" t="str">
        <f>B18</f>
        <v>Geldeingang Handel</v>
      </c>
      <c r="C56" s="451"/>
      <c r="D56" s="435">
        <f>R20*1.19</f>
        <v>0</v>
      </c>
      <c r="E56" s="436"/>
      <c r="F56" s="435">
        <f>T20*1.19</f>
        <v>0</v>
      </c>
      <c r="G56" s="436"/>
      <c r="H56" s="435">
        <f>V20*1.19</f>
        <v>0</v>
      </c>
      <c r="I56" s="436"/>
      <c r="J56" s="435">
        <f>X20*1.19</f>
        <v>0</v>
      </c>
      <c r="K56" s="436"/>
      <c r="L56" s="435">
        <f>Z20*1.19</f>
        <v>0</v>
      </c>
      <c r="M56" s="436"/>
      <c r="N56" s="435">
        <f>AB20*1.19</f>
        <v>0</v>
      </c>
      <c r="O56" s="795"/>
      <c r="P56" s="49"/>
      <c r="Q56" s="58"/>
      <c r="R56" s="58"/>
      <c r="S56" s="58"/>
      <c r="T56" s="58"/>
      <c r="U56" s="58"/>
      <c r="V56" s="58"/>
      <c r="W56" s="58"/>
      <c r="X56" s="58"/>
      <c r="Y56" s="58"/>
      <c r="Z56" s="58"/>
      <c r="AA56" s="58"/>
    </row>
    <row r="57" spans="1:27" ht="15" x14ac:dyDescent="0.2">
      <c r="A57" s="513"/>
      <c r="B57" s="432" t="str">
        <f>B19</f>
        <v>Geldeingang</v>
      </c>
      <c r="C57" s="451"/>
      <c r="D57" s="435"/>
      <c r="E57" s="795"/>
      <c r="F57" s="435"/>
      <c r="G57" s="795"/>
      <c r="H57" s="435"/>
      <c r="I57" s="795"/>
      <c r="J57" s="435"/>
      <c r="K57" s="795"/>
      <c r="L57" s="435"/>
      <c r="M57" s="795"/>
      <c r="N57" s="435"/>
      <c r="O57" s="795"/>
      <c r="P57" s="54"/>
      <c r="Q57" s="58"/>
      <c r="R57" s="58"/>
      <c r="S57" s="58"/>
      <c r="T57" s="58"/>
      <c r="U57" s="58"/>
      <c r="V57" s="58"/>
      <c r="W57" s="58"/>
      <c r="X57" s="58"/>
      <c r="Y57" s="58"/>
      <c r="Z57" s="58"/>
      <c r="AA57" s="58"/>
    </row>
    <row r="58" spans="1:27" ht="15" x14ac:dyDescent="0.2">
      <c r="A58" s="513"/>
      <c r="B58" s="432" t="s">
        <v>302</v>
      </c>
      <c r="C58" s="451"/>
      <c r="D58" s="435">
        <f>(N8+N9+N14)/119*19</f>
        <v>1638.7974999999997</v>
      </c>
      <c r="E58" s="436">
        <f>(O8+O9)/119*19</f>
        <v>0</v>
      </c>
      <c r="F58" s="435">
        <f>(D46+D47+D52)/119*19</f>
        <v>1638.7974999999997</v>
      </c>
      <c r="G58" s="436"/>
      <c r="H58" s="435">
        <f t="shared" ref="H58:N58" si="9">(F46+F47+F52)/119*19</f>
        <v>1638.7974999999997</v>
      </c>
      <c r="I58" s="436"/>
      <c r="J58" s="435">
        <f t="shared" si="9"/>
        <v>1638.7974999999997</v>
      </c>
      <c r="K58" s="436"/>
      <c r="L58" s="435">
        <f t="shared" si="9"/>
        <v>1638.7974999999997</v>
      </c>
      <c r="M58" s="436"/>
      <c r="N58" s="435">
        <f t="shared" si="9"/>
        <v>1638.7974999999997</v>
      </c>
      <c r="O58" s="795"/>
      <c r="P58" s="54"/>
      <c r="Q58" s="55"/>
      <c r="R58" s="55"/>
      <c r="S58" s="55"/>
      <c r="T58" s="55"/>
      <c r="U58" s="55"/>
      <c r="V58" s="55"/>
      <c r="W58" s="55"/>
      <c r="X58" s="55"/>
      <c r="Y58" s="55"/>
      <c r="Z58" s="55"/>
      <c r="AA58" s="55"/>
    </row>
    <row r="59" spans="1:27" ht="15" x14ac:dyDescent="0.2">
      <c r="A59" s="513"/>
      <c r="B59" s="432" t="str">
        <f>B21</f>
        <v>Sonstige</v>
      </c>
      <c r="C59" s="451"/>
      <c r="D59" s="526"/>
      <c r="E59" s="795"/>
      <c r="F59" s="526"/>
      <c r="G59" s="795"/>
      <c r="H59" s="526"/>
      <c r="I59" s="795"/>
      <c r="J59" s="526"/>
      <c r="K59" s="795"/>
      <c r="L59" s="526"/>
      <c r="M59" s="795"/>
      <c r="N59" s="526"/>
      <c r="O59" s="795"/>
      <c r="P59" s="55"/>
      <c r="Q59" s="55"/>
      <c r="R59" s="55"/>
      <c r="S59" s="55"/>
      <c r="T59" s="55"/>
      <c r="U59" s="55"/>
      <c r="V59" s="55"/>
      <c r="W59" s="55"/>
      <c r="X59" s="55"/>
      <c r="Y59" s="55"/>
      <c r="Z59" s="55"/>
      <c r="AA59" s="55"/>
    </row>
    <row r="60" spans="1:27" ht="15.75" x14ac:dyDescent="0.25">
      <c r="A60" s="527"/>
      <c r="B60" s="528" t="s">
        <v>259</v>
      </c>
      <c r="C60" s="529"/>
      <c r="D60" s="530">
        <f t="shared" ref="D60:O60" si="10">SUM(D55:D59)</f>
        <v>25438.797500000001</v>
      </c>
      <c r="E60" s="531">
        <f t="shared" si="10"/>
        <v>0</v>
      </c>
      <c r="F60" s="530">
        <f t="shared" si="10"/>
        <v>15918.797500000001</v>
      </c>
      <c r="G60" s="531">
        <f t="shared" si="10"/>
        <v>0</v>
      </c>
      <c r="H60" s="530">
        <f t="shared" si="10"/>
        <v>15918.797500000001</v>
      </c>
      <c r="I60" s="531">
        <f t="shared" si="10"/>
        <v>0</v>
      </c>
      <c r="J60" s="530">
        <f t="shared" si="10"/>
        <v>25438.797500000001</v>
      </c>
      <c r="K60" s="531">
        <f t="shared" si="10"/>
        <v>0</v>
      </c>
      <c r="L60" s="530">
        <f t="shared" si="10"/>
        <v>30198.797500000001</v>
      </c>
      <c r="M60" s="531">
        <f t="shared" si="10"/>
        <v>0</v>
      </c>
      <c r="N60" s="530">
        <f t="shared" si="10"/>
        <v>34958.797500000001</v>
      </c>
      <c r="O60" s="531">
        <f t="shared" si="10"/>
        <v>0</v>
      </c>
      <c r="P60" s="42"/>
      <c r="Q60" s="56"/>
      <c r="R60" s="56"/>
      <c r="S60" s="56"/>
      <c r="T60" s="41"/>
      <c r="U60" s="41"/>
      <c r="V60" s="41"/>
      <c r="W60" s="41"/>
      <c r="X60" s="41"/>
      <c r="Y60" s="41"/>
      <c r="Z60" s="41"/>
      <c r="AA60" s="41"/>
    </row>
    <row r="61" spans="1:27" ht="15.75" x14ac:dyDescent="0.2">
      <c r="A61" s="532"/>
      <c r="B61" s="533" t="s">
        <v>304</v>
      </c>
      <c r="C61" s="534"/>
      <c r="D61" s="535">
        <f t="shared" ref="D61:O61" si="11">D60-D53</f>
        <v>3966.4166666666679</v>
      </c>
      <c r="E61" s="536">
        <f t="shared" si="11"/>
        <v>0</v>
      </c>
      <c r="F61" s="535">
        <f t="shared" si="11"/>
        <v>-5553.5833333333321</v>
      </c>
      <c r="G61" s="536">
        <f t="shared" si="11"/>
        <v>0</v>
      </c>
      <c r="H61" s="535">
        <f t="shared" si="11"/>
        <v>-4033.5833333333321</v>
      </c>
      <c r="I61" s="536">
        <f t="shared" si="11"/>
        <v>0</v>
      </c>
      <c r="J61" s="535">
        <f t="shared" si="11"/>
        <v>5486.4166666666679</v>
      </c>
      <c r="K61" s="536">
        <f t="shared" si="11"/>
        <v>0</v>
      </c>
      <c r="L61" s="535">
        <f t="shared" si="11"/>
        <v>8726.4166666666679</v>
      </c>
      <c r="M61" s="536">
        <f t="shared" si="11"/>
        <v>0</v>
      </c>
      <c r="N61" s="535">
        <f t="shared" si="11"/>
        <v>12726.416666666668</v>
      </c>
      <c r="O61" s="537">
        <f t="shared" si="11"/>
        <v>0</v>
      </c>
      <c r="P61" s="55"/>
      <c r="Q61" s="56"/>
      <c r="R61" s="56"/>
      <c r="S61" s="56"/>
      <c r="T61" s="41"/>
      <c r="U61" s="41"/>
      <c r="V61" s="41"/>
      <c r="W61" s="41"/>
      <c r="X61" s="41"/>
      <c r="Y61" s="41"/>
      <c r="Z61" s="41"/>
      <c r="AA61" s="41"/>
    </row>
    <row r="62" spans="1:27" ht="15.75" x14ac:dyDescent="0.2">
      <c r="A62" s="538" t="s">
        <v>305</v>
      </c>
      <c r="B62" s="465" t="s">
        <v>306</v>
      </c>
      <c r="C62" s="466"/>
      <c r="D62" s="481"/>
      <c r="E62" s="468"/>
      <c r="F62" s="467"/>
      <c r="G62" s="468"/>
      <c r="H62" s="467"/>
      <c r="I62" s="468"/>
      <c r="J62" s="467"/>
      <c r="K62" s="468"/>
      <c r="L62" s="467"/>
      <c r="M62" s="468"/>
      <c r="N62" s="467"/>
      <c r="O62" s="482"/>
      <c r="P62" s="40"/>
      <c r="Q62" s="41"/>
      <c r="R62" s="41"/>
      <c r="S62" s="41"/>
      <c r="T62" s="41"/>
      <c r="U62" s="41"/>
      <c r="V62" s="41"/>
      <c r="W62" s="41"/>
      <c r="X62" s="41"/>
      <c r="Y62" s="41"/>
      <c r="Z62" s="41"/>
      <c r="AA62" s="41"/>
    </row>
    <row r="63" spans="1:27" ht="15.75" x14ac:dyDescent="0.2">
      <c r="A63" s="539"/>
      <c r="B63" s="470" t="s">
        <v>307</v>
      </c>
      <c r="C63" s="471"/>
      <c r="D63" s="798"/>
      <c r="E63" s="799"/>
      <c r="F63" s="800"/>
      <c r="G63" s="801"/>
      <c r="H63" s="798"/>
      <c r="I63" s="799"/>
      <c r="J63" s="798"/>
      <c r="K63" s="799"/>
      <c r="L63" s="798"/>
      <c r="M63" s="799"/>
      <c r="N63" s="798"/>
      <c r="O63" s="799"/>
      <c r="P63" s="41"/>
      <c r="Q63" s="40"/>
      <c r="R63" s="40"/>
      <c r="S63" s="40"/>
      <c r="T63" s="40"/>
      <c r="U63" s="40"/>
      <c r="V63" s="40"/>
      <c r="W63" s="40"/>
      <c r="X63" s="40"/>
      <c r="Y63" s="40"/>
      <c r="Z63" s="40"/>
      <c r="AA63" s="40"/>
    </row>
    <row r="64" spans="1:27" ht="15.75" x14ac:dyDescent="0.2">
      <c r="A64" s="540"/>
      <c r="B64" s="473" t="s">
        <v>308</v>
      </c>
      <c r="C64" s="474"/>
      <c r="D64" s="475"/>
      <c r="E64" s="802"/>
      <c r="F64" s="803"/>
      <c r="G64" s="477"/>
      <c r="H64" s="475"/>
      <c r="I64" s="802"/>
      <c r="J64" s="475"/>
      <c r="K64" s="802"/>
      <c r="L64" s="475"/>
      <c r="M64" s="802"/>
      <c r="N64" s="475"/>
      <c r="O64" s="802"/>
      <c r="P64" s="41"/>
      <c r="Q64" s="40"/>
      <c r="R64" s="40"/>
      <c r="S64" s="40"/>
      <c r="T64" s="40"/>
      <c r="U64" s="40"/>
      <c r="V64" s="40"/>
      <c r="W64" s="40"/>
      <c r="X64" s="40"/>
      <c r="Y64" s="40"/>
      <c r="Z64" s="40"/>
      <c r="AA64" s="40"/>
    </row>
    <row r="65" spans="1:27" ht="15.75" x14ac:dyDescent="0.2">
      <c r="A65" s="541"/>
      <c r="B65" s="477" t="s">
        <v>309</v>
      </c>
      <c r="C65" s="478"/>
      <c r="D65" s="475"/>
      <c r="E65" s="802"/>
      <c r="F65" s="803"/>
      <c r="G65" s="477"/>
      <c r="H65" s="475"/>
      <c r="I65" s="802"/>
      <c r="J65" s="475"/>
      <c r="K65" s="802"/>
      <c r="L65" s="475"/>
      <c r="M65" s="802"/>
      <c r="N65" s="475"/>
      <c r="O65" s="802"/>
      <c r="P65" s="42"/>
      <c r="Q65" s="40"/>
      <c r="R65" s="40"/>
      <c r="S65" s="40"/>
      <c r="T65" s="40"/>
      <c r="U65" s="40"/>
      <c r="V65" s="40"/>
      <c r="W65" s="40"/>
      <c r="X65" s="40"/>
      <c r="Y65" s="40"/>
      <c r="Z65" s="40"/>
      <c r="AA65" s="40"/>
    </row>
    <row r="66" spans="1:27" ht="15.75" x14ac:dyDescent="0.2">
      <c r="A66" s="540"/>
      <c r="B66" s="473" t="s">
        <v>310</v>
      </c>
      <c r="C66" s="474"/>
      <c r="D66" s="475"/>
      <c r="E66" s="802"/>
      <c r="F66" s="803"/>
      <c r="G66" s="477"/>
      <c r="H66" s="475"/>
      <c r="I66" s="802"/>
      <c r="J66" s="475"/>
      <c r="K66" s="802"/>
      <c r="L66" s="475"/>
      <c r="M66" s="802"/>
      <c r="N66" s="475"/>
      <c r="O66" s="802"/>
      <c r="P66" s="40"/>
      <c r="Q66" s="40"/>
      <c r="R66" s="40"/>
      <c r="S66" s="40"/>
      <c r="T66" s="40"/>
      <c r="U66" s="40"/>
      <c r="V66" s="40"/>
      <c r="W66" s="40"/>
      <c r="X66" s="40"/>
      <c r="Y66" s="40"/>
      <c r="Z66" s="40"/>
      <c r="AA66" s="40"/>
    </row>
    <row r="67" spans="1:27" ht="15.75" x14ac:dyDescent="0.2">
      <c r="A67" s="542" t="s">
        <v>311</v>
      </c>
      <c r="B67" s="468" t="s">
        <v>312</v>
      </c>
      <c r="C67" s="480"/>
      <c r="D67" s="481"/>
      <c r="E67" s="468"/>
      <c r="F67" s="467"/>
      <c r="G67" s="468"/>
      <c r="H67" s="467"/>
      <c r="I67" s="468"/>
      <c r="J67" s="467"/>
      <c r="K67" s="468"/>
      <c r="L67" s="467"/>
      <c r="M67" s="468"/>
      <c r="N67" s="467"/>
      <c r="O67" s="482"/>
      <c r="P67" s="40"/>
      <c r="Q67" s="40"/>
      <c r="R67" s="40"/>
      <c r="S67" s="40"/>
      <c r="T67" s="40"/>
      <c r="U67" s="40"/>
      <c r="V67" s="40"/>
      <c r="W67" s="40"/>
      <c r="X67" s="40"/>
      <c r="Y67" s="40"/>
      <c r="Z67" s="40"/>
      <c r="AA67" s="40"/>
    </row>
    <row r="68" spans="1:27" ht="15.75" x14ac:dyDescent="0.2">
      <c r="A68" s="539"/>
      <c r="B68" s="470" t="s">
        <v>47</v>
      </c>
      <c r="C68" s="471"/>
      <c r="D68" s="798"/>
      <c r="E68" s="799"/>
      <c r="F68" s="800"/>
      <c r="G68" s="801"/>
      <c r="H68" s="798"/>
      <c r="I68" s="799"/>
      <c r="J68" s="798"/>
      <c r="K68" s="799"/>
      <c r="L68" s="798"/>
      <c r="M68" s="799"/>
      <c r="N68" s="798"/>
      <c r="O68" s="799"/>
      <c r="P68" s="41"/>
      <c r="Q68" s="40"/>
      <c r="R68" s="40"/>
      <c r="S68" s="40"/>
      <c r="T68" s="40"/>
      <c r="U68" s="40"/>
      <c r="V68" s="40"/>
      <c r="W68" s="40"/>
      <c r="X68" s="40"/>
      <c r="Y68" s="40"/>
      <c r="Z68" s="40"/>
      <c r="AA68" s="40"/>
    </row>
    <row r="69" spans="1:27" ht="15.75" x14ac:dyDescent="0.2">
      <c r="A69" s="541"/>
      <c r="B69" s="477" t="s">
        <v>307</v>
      </c>
      <c r="C69" s="478"/>
      <c r="D69" s="475"/>
      <c r="E69" s="802"/>
      <c r="F69" s="803"/>
      <c r="G69" s="477"/>
      <c r="H69" s="475"/>
      <c r="I69" s="802"/>
      <c r="J69" s="475"/>
      <c r="K69" s="802"/>
      <c r="L69" s="475"/>
      <c r="M69" s="802"/>
      <c r="N69" s="475"/>
      <c r="O69" s="802"/>
      <c r="P69" s="58"/>
      <c r="Q69" s="40"/>
      <c r="R69" s="40"/>
      <c r="S69" s="40"/>
      <c r="T69" s="40"/>
      <c r="U69" s="40"/>
      <c r="V69" s="40"/>
      <c r="W69" s="40"/>
      <c r="X69" s="40"/>
      <c r="Y69" s="40"/>
      <c r="Z69" s="40"/>
      <c r="AA69" s="40"/>
    </row>
    <row r="70" spans="1:27" ht="15.75" x14ac:dyDescent="0.2">
      <c r="A70" s="540"/>
      <c r="B70" s="473" t="s">
        <v>313</v>
      </c>
      <c r="C70" s="474"/>
      <c r="D70" s="475"/>
      <c r="E70" s="802"/>
      <c r="F70" s="803"/>
      <c r="G70" s="477"/>
      <c r="H70" s="475"/>
      <c r="I70" s="802"/>
      <c r="J70" s="475"/>
      <c r="K70" s="802"/>
      <c r="L70" s="475"/>
      <c r="M70" s="802"/>
      <c r="N70" s="475"/>
      <c r="O70" s="802"/>
      <c r="P70" s="55"/>
      <c r="Q70" s="40"/>
      <c r="R70" s="40"/>
      <c r="S70" s="40"/>
      <c r="T70" s="40"/>
      <c r="U70" s="40"/>
      <c r="V70" s="40"/>
      <c r="W70" s="40"/>
      <c r="X70" s="40"/>
      <c r="Y70" s="40"/>
      <c r="Z70" s="40"/>
      <c r="AA70" s="40"/>
    </row>
    <row r="71" spans="1:27" ht="15.75" x14ac:dyDescent="0.2">
      <c r="A71" s="542" t="s">
        <v>314</v>
      </c>
      <c r="B71" s="468" t="s">
        <v>315</v>
      </c>
      <c r="C71" s="480"/>
      <c r="D71" s="481"/>
      <c r="E71" s="468"/>
      <c r="F71" s="467"/>
      <c r="G71" s="468"/>
      <c r="H71" s="467"/>
      <c r="I71" s="468"/>
      <c r="J71" s="467"/>
      <c r="K71" s="468"/>
      <c r="L71" s="467"/>
      <c r="M71" s="468"/>
      <c r="N71" s="467"/>
      <c r="O71" s="482"/>
      <c r="P71" s="55"/>
      <c r="Q71" s="40"/>
      <c r="R71" s="40"/>
      <c r="S71" s="40"/>
      <c r="T71" s="40"/>
      <c r="U71" s="40"/>
      <c r="V71" s="40"/>
      <c r="W71" s="40"/>
      <c r="X71" s="40"/>
      <c r="Y71" s="40"/>
      <c r="Z71" s="40"/>
      <c r="AA71" s="40"/>
    </row>
    <row r="72" spans="1:27" ht="15" x14ac:dyDescent="0.2">
      <c r="A72" s="543"/>
      <c r="B72" s="470" t="s">
        <v>316</v>
      </c>
      <c r="C72" s="471"/>
      <c r="D72" s="484">
        <f t="shared" ref="D72:O72" si="12">ROUND(D61+SUM(D63:D66)-SUM(D68:D70),2)</f>
        <v>3966.42</v>
      </c>
      <c r="E72" s="485">
        <f t="shared" si="12"/>
        <v>0</v>
      </c>
      <c r="F72" s="484">
        <f t="shared" si="12"/>
        <v>-5553.58</v>
      </c>
      <c r="G72" s="485">
        <f t="shared" si="12"/>
        <v>0</v>
      </c>
      <c r="H72" s="484">
        <f t="shared" si="12"/>
        <v>-4033.58</v>
      </c>
      <c r="I72" s="485">
        <f t="shared" si="12"/>
        <v>0</v>
      </c>
      <c r="J72" s="484">
        <f t="shared" si="12"/>
        <v>5486.42</v>
      </c>
      <c r="K72" s="485">
        <f t="shared" si="12"/>
        <v>0</v>
      </c>
      <c r="L72" s="484">
        <f t="shared" si="12"/>
        <v>8726.42</v>
      </c>
      <c r="M72" s="485">
        <f t="shared" si="12"/>
        <v>0</v>
      </c>
      <c r="N72" s="484">
        <f t="shared" si="12"/>
        <v>12726.42</v>
      </c>
      <c r="O72" s="486">
        <f t="shared" si="12"/>
        <v>0</v>
      </c>
      <c r="P72" s="41"/>
      <c r="Q72" s="40"/>
      <c r="R72" s="40"/>
      <c r="S72" s="40"/>
      <c r="T72" s="40"/>
      <c r="U72" s="40"/>
      <c r="V72" s="40"/>
      <c r="W72" s="40"/>
      <c r="X72" s="40"/>
      <c r="Y72" s="40"/>
      <c r="Z72" s="40"/>
      <c r="AA72" s="40"/>
    </row>
    <row r="73" spans="1:27" ht="15" x14ac:dyDescent="0.2">
      <c r="A73" s="544"/>
      <c r="B73" s="473" t="s">
        <v>321</v>
      </c>
      <c r="C73" s="474"/>
      <c r="D73" s="488">
        <f>N35+D69-D63</f>
        <v>0</v>
      </c>
      <c r="E73" s="489">
        <f>O35+E69-E63</f>
        <v>0</v>
      </c>
      <c r="F73" s="488">
        <f t="shared" ref="F73:O73" si="13">D73+F69-F63</f>
        <v>0</v>
      </c>
      <c r="G73" s="489">
        <f t="shared" si="13"/>
        <v>0</v>
      </c>
      <c r="H73" s="488">
        <f t="shared" si="13"/>
        <v>0</v>
      </c>
      <c r="I73" s="489">
        <f t="shared" si="13"/>
        <v>0</v>
      </c>
      <c r="J73" s="488">
        <f t="shared" si="13"/>
        <v>0</v>
      </c>
      <c r="K73" s="489">
        <f t="shared" si="13"/>
        <v>0</v>
      </c>
      <c r="L73" s="488">
        <f t="shared" si="13"/>
        <v>0</v>
      </c>
      <c r="M73" s="489">
        <f t="shared" si="13"/>
        <v>0</v>
      </c>
      <c r="N73" s="488">
        <f t="shared" si="13"/>
        <v>0</v>
      </c>
      <c r="O73" s="489">
        <f t="shared" si="13"/>
        <v>0</v>
      </c>
      <c r="P73" s="41"/>
      <c r="Q73" s="40"/>
      <c r="R73" s="40"/>
      <c r="S73" s="40"/>
      <c r="T73" s="40"/>
      <c r="U73" s="40"/>
      <c r="V73" s="40"/>
      <c r="W73" s="40"/>
      <c r="X73" s="40"/>
      <c r="Y73" s="40"/>
      <c r="Z73" s="40"/>
      <c r="AA73" s="40"/>
    </row>
    <row r="74" spans="1:27" ht="15.75" x14ac:dyDescent="0.2">
      <c r="A74" s="540"/>
      <c r="B74" s="473" t="s">
        <v>322</v>
      </c>
      <c r="C74" s="474"/>
      <c r="D74" s="488">
        <f>SUM(D70:D70)</f>
        <v>0</v>
      </c>
      <c r="E74" s="489">
        <f>SUM(E70:E70)</f>
        <v>0</v>
      </c>
      <c r="F74" s="488">
        <f t="shared" ref="F74:O74" si="14">SUM(F70:F70)-F64+D74</f>
        <v>0</v>
      </c>
      <c r="G74" s="489">
        <f t="shared" si="14"/>
        <v>0</v>
      </c>
      <c r="H74" s="488">
        <f t="shared" si="14"/>
        <v>0</v>
      </c>
      <c r="I74" s="489">
        <f t="shared" si="14"/>
        <v>0</v>
      </c>
      <c r="J74" s="488">
        <f t="shared" si="14"/>
        <v>0</v>
      </c>
      <c r="K74" s="489">
        <f t="shared" si="14"/>
        <v>0</v>
      </c>
      <c r="L74" s="488">
        <f t="shared" si="14"/>
        <v>0</v>
      </c>
      <c r="M74" s="489">
        <f t="shared" si="14"/>
        <v>0</v>
      </c>
      <c r="N74" s="488">
        <f t="shared" si="14"/>
        <v>0</v>
      </c>
      <c r="O74" s="489">
        <f t="shared" si="14"/>
        <v>0</v>
      </c>
      <c r="P74" s="41"/>
      <c r="Q74" s="40"/>
      <c r="R74" s="40"/>
      <c r="S74" s="40"/>
      <c r="T74" s="40"/>
      <c r="U74" s="40"/>
      <c r="V74" s="40"/>
      <c r="W74" s="40"/>
      <c r="X74" s="40"/>
      <c r="Y74" s="40"/>
      <c r="Z74" s="40"/>
      <c r="AA74" s="40"/>
    </row>
    <row r="75" spans="1:27" ht="15.75" x14ac:dyDescent="0.2">
      <c r="A75" s="490"/>
      <c r="B75" s="545" t="s">
        <v>323</v>
      </c>
      <c r="C75" s="546"/>
      <c r="D75" s="547">
        <f>D65+D66-D68+N37</f>
        <v>0</v>
      </c>
      <c r="E75" s="548">
        <f>E65+E66</f>
        <v>0</v>
      </c>
      <c r="F75" s="547">
        <f>F65+F66+D75-F68</f>
        <v>0</v>
      </c>
      <c r="G75" s="548">
        <f>G65+G66+E75-G68</f>
        <v>0</v>
      </c>
      <c r="H75" s="547">
        <f t="shared" ref="H75:O75" si="15">F75+H65+H66-H68</f>
        <v>0</v>
      </c>
      <c r="I75" s="548">
        <f t="shared" si="15"/>
        <v>0</v>
      </c>
      <c r="J75" s="547">
        <f t="shared" si="15"/>
        <v>0</v>
      </c>
      <c r="K75" s="548">
        <f t="shared" si="15"/>
        <v>0</v>
      </c>
      <c r="L75" s="547">
        <f t="shared" si="15"/>
        <v>0</v>
      </c>
      <c r="M75" s="548">
        <f t="shared" si="15"/>
        <v>0</v>
      </c>
      <c r="N75" s="547">
        <f t="shared" si="15"/>
        <v>0</v>
      </c>
      <c r="O75" s="548">
        <f t="shared" si="15"/>
        <v>0</v>
      </c>
      <c r="P75" s="40"/>
      <c r="Q75" s="40"/>
      <c r="R75" s="40"/>
      <c r="S75" s="40"/>
      <c r="T75" s="40"/>
      <c r="U75" s="40"/>
      <c r="V75" s="40"/>
      <c r="W75" s="40"/>
      <c r="X75" s="40"/>
      <c r="Y75" s="40"/>
      <c r="Z75" s="40"/>
      <c r="AA75" s="40"/>
    </row>
    <row r="76" spans="1:27" x14ac:dyDescent="0.2">
      <c r="A76" s="40"/>
      <c r="B76" s="40"/>
      <c r="C76" s="40"/>
      <c r="D76" s="57"/>
      <c r="E76" s="40"/>
      <c r="F76" s="57"/>
      <c r="G76" s="40"/>
      <c r="H76" s="57"/>
      <c r="I76" s="40"/>
      <c r="J76" s="57"/>
      <c r="K76" s="40"/>
      <c r="L76" s="57"/>
      <c r="M76" s="40"/>
      <c r="N76" s="57"/>
      <c r="O76" s="40"/>
      <c r="P76" s="40"/>
      <c r="Q76" s="40"/>
      <c r="R76" s="40"/>
      <c r="S76" s="40"/>
      <c r="T76" s="40"/>
      <c r="U76" s="40"/>
      <c r="V76" s="40"/>
      <c r="W76" s="40"/>
      <c r="X76" s="40"/>
      <c r="Y76" s="40"/>
      <c r="Z76" s="40"/>
      <c r="AA76" s="40"/>
    </row>
  </sheetData>
  <sheetProtection selectLockedCells="1"/>
  <mergeCells count="24">
    <mergeCell ref="AB5:AC5"/>
    <mergeCell ref="AB16:AC16"/>
    <mergeCell ref="D5:E5"/>
    <mergeCell ref="F5:G5"/>
    <mergeCell ref="H5:I5"/>
    <mergeCell ref="J5:K5"/>
    <mergeCell ref="L5:M5"/>
    <mergeCell ref="N5:O5"/>
    <mergeCell ref="R5:S5"/>
    <mergeCell ref="T5:U5"/>
    <mergeCell ref="V5:W5"/>
    <mergeCell ref="X5:Y5"/>
    <mergeCell ref="Z5:AA5"/>
    <mergeCell ref="R16:S16"/>
    <mergeCell ref="T16:U16"/>
    <mergeCell ref="V16:W16"/>
    <mergeCell ref="X16:Y16"/>
    <mergeCell ref="Z16:AA16"/>
    <mergeCell ref="D43:E43"/>
    <mergeCell ref="F43:G43"/>
    <mergeCell ref="H43:I43"/>
    <mergeCell ref="J43:K43"/>
    <mergeCell ref="L43:M43"/>
    <mergeCell ref="N43:O43"/>
  </mergeCells>
  <pageMargins left="0.70866141732283472" right="0.70866141732283472" top="0.78740157480314965" bottom="0.78740157480314965" header="0.31496062992125984" footer="0.31496062992125984"/>
  <pageSetup paperSize="9" scale="85" pageOrder="overThenDown" orientation="landscape" r:id="rId1"/>
  <rowBreaks count="1" manualBreakCount="1">
    <brk id="38"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pageSetUpPr fitToPage="1"/>
  </sheetPr>
  <dimension ref="A1:AF75"/>
  <sheetViews>
    <sheetView showWhiteSpace="0" topLeftCell="F8" zoomScaleNormal="100" zoomScaleSheetLayoutView="85" zoomScalePageLayoutView="50" workbookViewId="0">
      <selection activeCell="S8" sqref="S8"/>
    </sheetView>
  </sheetViews>
  <sheetFormatPr baseColWidth="10" defaultRowHeight="14.25" x14ac:dyDescent="0.2"/>
  <cols>
    <col min="1" max="1" width="2.5" customWidth="1"/>
    <col min="3" max="3" width="10.625" customWidth="1"/>
    <col min="5" max="5" width="9.5" customWidth="1"/>
    <col min="6" max="6" width="10.25" customWidth="1"/>
    <col min="7" max="9" width="10" customWidth="1"/>
    <col min="10" max="10" width="10.25" customWidth="1"/>
    <col min="11" max="11" width="9.875" customWidth="1"/>
    <col min="12" max="12" width="10" customWidth="1"/>
    <col min="13" max="14" width="9.875" customWidth="1"/>
    <col min="15" max="15" width="10" customWidth="1"/>
    <col min="17" max="17" width="14.375" customWidth="1"/>
  </cols>
  <sheetData>
    <row r="1" spans="1:32" ht="20.25" x14ac:dyDescent="0.2">
      <c r="A1" s="30" t="s">
        <v>283</v>
      </c>
      <c r="B1" s="31"/>
      <c r="C1" s="32"/>
      <c r="D1" s="33" t="s">
        <v>284</v>
      </c>
      <c r="E1" s="34"/>
      <c r="F1" s="35"/>
      <c r="G1" s="36"/>
      <c r="H1" s="36" t="s">
        <v>203</v>
      </c>
      <c r="I1" s="34"/>
      <c r="J1" s="35"/>
      <c r="K1" s="34"/>
      <c r="L1" s="35"/>
      <c r="M1" s="34"/>
      <c r="N1" s="35"/>
      <c r="O1" s="37"/>
      <c r="P1" s="805"/>
      <c r="Q1" s="805"/>
      <c r="R1" s="805"/>
      <c r="S1" s="805"/>
      <c r="T1" s="806"/>
      <c r="U1" s="806"/>
      <c r="V1" s="806"/>
      <c r="W1" s="806"/>
      <c r="X1" s="806"/>
      <c r="Y1" s="806"/>
      <c r="Z1" s="806"/>
      <c r="AA1" s="806"/>
      <c r="AB1" s="806"/>
      <c r="AC1" s="806"/>
      <c r="AD1" s="806"/>
      <c r="AE1" s="806"/>
      <c r="AF1" s="806"/>
    </row>
    <row r="2" spans="1:32" x14ac:dyDescent="0.2">
      <c r="A2" s="110"/>
      <c r="B2" s="110"/>
      <c r="C2" s="110"/>
      <c r="D2" s="39"/>
      <c r="E2" s="110"/>
      <c r="F2" s="39"/>
      <c r="G2" s="110"/>
      <c r="H2" s="39"/>
      <c r="I2" s="110"/>
      <c r="J2" s="39"/>
      <c r="K2" s="110"/>
      <c r="L2" s="39"/>
      <c r="M2" s="110"/>
      <c r="N2" s="39"/>
      <c r="O2" s="110"/>
      <c r="P2" s="805"/>
      <c r="Q2" s="805"/>
      <c r="R2" s="805"/>
      <c r="S2" s="805"/>
      <c r="T2" s="806"/>
      <c r="U2" s="806"/>
      <c r="V2" s="806"/>
      <c r="W2" s="806"/>
      <c r="X2" s="806"/>
      <c r="Y2" s="806"/>
      <c r="Z2" s="806"/>
      <c r="AA2" s="806"/>
      <c r="AB2" s="806"/>
      <c r="AC2" s="806"/>
      <c r="AD2" s="806"/>
      <c r="AE2" s="806"/>
      <c r="AF2" s="806"/>
    </row>
    <row r="3" spans="1:32" ht="15.75" x14ac:dyDescent="0.25">
      <c r="A3" s="407"/>
      <c r="B3" s="409" t="s">
        <v>285</v>
      </c>
      <c r="C3" s="407"/>
      <c r="D3" s="408"/>
      <c r="E3" s="407"/>
      <c r="F3" s="408"/>
      <c r="G3" s="407"/>
      <c r="H3" s="408"/>
      <c r="I3" s="407"/>
      <c r="J3" s="408"/>
      <c r="K3" s="407"/>
      <c r="L3" s="408"/>
      <c r="M3" s="407"/>
      <c r="N3" s="408"/>
      <c r="O3" s="407"/>
      <c r="P3" s="805"/>
      <c r="Q3" s="805"/>
      <c r="R3" s="805"/>
      <c r="S3" s="805"/>
      <c r="T3" s="806"/>
      <c r="U3" s="806"/>
      <c r="V3" s="806"/>
      <c r="W3" s="806"/>
      <c r="X3" s="806"/>
      <c r="Y3" s="806"/>
      <c r="Z3" s="806"/>
      <c r="AA3" s="806"/>
      <c r="AB3" s="806"/>
      <c r="AC3" s="806"/>
      <c r="AD3" s="806"/>
      <c r="AE3" s="806"/>
      <c r="AF3" s="806"/>
    </row>
    <row r="4" spans="1:32" ht="15" x14ac:dyDescent="0.2">
      <c r="A4" s="410"/>
      <c r="B4" s="410"/>
      <c r="C4" s="410"/>
      <c r="D4" s="411"/>
      <c r="E4" s="410"/>
      <c r="F4" s="411"/>
      <c r="G4" s="410"/>
      <c r="H4" s="411"/>
      <c r="I4" s="410"/>
      <c r="J4" s="411"/>
      <c r="K4" s="410"/>
      <c r="L4" s="411"/>
      <c r="M4" s="410"/>
      <c r="N4" s="411"/>
      <c r="O4" s="410"/>
      <c r="P4" s="805"/>
      <c r="Q4" s="805"/>
      <c r="R4" s="805"/>
      <c r="S4" s="805"/>
      <c r="T4" s="806"/>
      <c r="U4" s="806"/>
      <c r="V4" s="806"/>
      <c r="W4" s="806"/>
      <c r="X4" s="806"/>
      <c r="Y4" s="806"/>
      <c r="Z4" s="806"/>
      <c r="AA4" s="806"/>
      <c r="AB4" s="806"/>
      <c r="AC4" s="806"/>
      <c r="AD4" s="806"/>
      <c r="AE4" s="806"/>
      <c r="AF4" s="806"/>
    </row>
    <row r="5" spans="1:32" ht="15.75" x14ac:dyDescent="0.2">
      <c r="A5" s="412"/>
      <c r="B5" s="413" t="s">
        <v>286</v>
      </c>
      <c r="C5" s="414"/>
      <c r="D5" s="975" t="str">
        <f>R5</f>
        <v>Juni</v>
      </c>
      <c r="E5" s="976"/>
      <c r="F5" s="975" t="str">
        <f>T5</f>
        <v>Juli</v>
      </c>
      <c r="G5" s="976"/>
      <c r="H5" s="975" t="str">
        <f>V5</f>
        <v>August</v>
      </c>
      <c r="I5" s="976"/>
      <c r="J5" s="975" t="str">
        <f>X5</f>
        <v>September</v>
      </c>
      <c r="K5" s="976"/>
      <c r="L5" s="975" t="str">
        <f>Z5</f>
        <v>Oktober</v>
      </c>
      <c r="M5" s="976"/>
      <c r="N5" s="975" t="str">
        <f>AB5</f>
        <v>November</v>
      </c>
      <c r="O5" s="976"/>
      <c r="P5" s="805"/>
      <c r="Q5" s="111"/>
      <c r="R5" s="971" t="s">
        <v>357</v>
      </c>
      <c r="S5" s="972"/>
      <c r="T5" s="971" t="s">
        <v>358</v>
      </c>
      <c r="U5" s="972"/>
      <c r="V5" s="971" t="s">
        <v>359</v>
      </c>
      <c r="W5" s="972"/>
      <c r="X5" s="971" t="s">
        <v>360</v>
      </c>
      <c r="Y5" s="972"/>
      <c r="Z5" s="971" t="s">
        <v>361</v>
      </c>
      <c r="AA5" s="972"/>
      <c r="AB5" s="971" t="s">
        <v>362</v>
      </c>
      <c r="AC5" s="972"/>
      <c r="AD5" s="40"/>
      <c r="AE5" s="40"/>
      <c r="AF5" s="40"/>
    </row>
    <row r="6" spans="1:32" ht="15.75" x14ac:dyDescent="0.25">
      <c r="A6" s="549"/>
      <c r="B6" s="550"/>
      <c r="C6" s="551"/>
      <c r="D6" s="552" t="s">
        <v>287</v>
      </c>
      <c r="E6" s="551" t="s">
        <v>288</v>
      </c>
      <c r="F6" s="552" t="s">
        <v>287</v>
      </c>
      <c r="G6" s="551" t="s">
        <v>288</v>
      </c>
      <c r="H6" s="552" t="s">
        <v>287</v>
      </c>
      <c r="I6" s="551" t="s">
        <v>288</v>
      </c>
      <c r="J6" s="552" t="s">
        <v>287</v>
      </c>
      <c r="K6" s="551" t="s">
        <v>288</v>
      </c>
      <c r="L6" s="552" t="s">
        <v>287</v>
      </c>
      <c r="M6" s="551" t="s">
        <v>288</v>
      </c>
      <c r="N6" s="552" t="s">
        <v>287</v>
      </c>
      <c r="O6" s="551" t="s">
        <v>288</v>
      </c>
      <c r="P6" s="805"/>
      <c r="Q6" s="43"/>
      <c r="R6" s="44" t="s">
        <v>289</v>
      </c>
      <c r="S6" s="45" t="s">
        <v>35</v>
      </c>
      <c r="T6" s="44" t="s">
        <v>289</v>
      </c>
      <c r="U6" s="45" t="s">
        <v>35</v>
      </c>
      <c r="V6" s="44" t="s">
        <v>289</v>
      </c>
      <c r="W6" s="45" t="s">
        <v>35</v>
      </c>
      <c r="X6" s="44" t="s">
        <v>289</v>
      </c>
      <c r="Y6" s="45" t="s">
        <v>35</v>
      </c>
      <c r="Z6" s="44" t="s">
        <v>289</v>
      </c>
      <c r="AA6" s="45" t="s">
        <v>35</v>
      </c>
      <c r="AB6" s="44" t="s">
        <v>289</v>
      </c>
      <c r="AC6" s="45" t="s">
        <v>35</v>
      </c>
      <c r="AD6" s="42"/>
      <c r="AE6" s="42"/>
      <c r="AF6" s="42"/>
    </row>
    <row r="7" spans="1:32" ht="15.75" x14ac:dyDescent="0.2">
      <c r="A7" s="419" t="s">
        <v>290</v>
      </c>
      <c r="B7" s="420" t="s">
        <v>291</v>
      </c>
      <c r="C7" s="421"/>
      <c r="D7" s="422"/>
      <c r="E7" s="423"/>
      <c r="F7" s="424"/>
      <c r="G7" s="423"/>
      <c r="H7" s="424"/>
      <c r="I7" s="423"/>
      <c r="J7" s="424"/>
      <c r="K7" s="423"/>
      <c r="L7" s="424"/>
      <c r="M7" s="423"/>
      <c r="N7" s="424"/>
      <c r="O7" s="425"/>
      <c r="P7" s="805"/>
      <c r="Q7" s="47"/>
      <c r="R7" s="781" t="s">
        <v>249</v>
      </c>
      <c r="S7" s="782"/>
      <c r="T7" s="782"/>
      <c r="U7" s="782"/>
      <c r="V7" s="782"/>
      <c r="W7" s="782"/>
      <c r="X7" s="782"/>
      <c r="Y7" s="782"/>
      <c r="Z7" s="782"/>
      <c r="AA7" s="782"/>
      <c r="AB7" s="782"/>
      <c r="AC7" s="783"/>
      <c r="AD7" s="46"/>
      <c r="AE7" s="46"/>
      <c r="AF7" s="46"/>
    </row>
    <row r="8" spans="1:32" ht="15" x14ac:dyDescent="0.2">
      <c r="A8" s="426"/>
      <c r="B8" s="427" t="s">
        <v>14</v>
      </c>
      <c r="C8" s="428"/>
      <c r="D8" s="429">
        <f>(Rentabilitätsvorschau!$F$15/12)*1.19</f>
        <v>7635.833333333333</v>
      </c>
      <c r="E8" s="430"/>
      <c r="F8" s="553">
        <f>(Rentabilitätsvorschau!$F$15/12)*1.19</f>
        <v>7635.833333333333</v>
      </c>
      <c r="G8" s="553"/>
      <c r="H8" s="429">
        <f>(Rentabilitätsvorschau!$F$15/12)*1.19</f>
        <v>7635.833333333333</v>
      </c>
      <c r="I8" s="430"/>
      <c r="J8" s="429">
        <f>(Rentabilitätsvorschau!$F$15/12)*1.19</f>
        <v>7635.833333333333</v>
      </c>
      <c r="K8" s="430"/>
      <c r="L8" s="429">
        <f>(Rentabilitätsvorschau!$F$15/12)*1.19</f>
        <v>7635.833333333333</v>
      </c>
      <c r="M8" s="430"/>
      <c r="N8" s="429">
        <f>(Rentabilitätsvorschau!$F$15/12)*1.19</f>
        <v>7635.833333333333</v>
      </c>
      <c r="O8" s="791"/>
      <c r="P8" s="805"/>
      <c r="Q8" s="48" t="s">
        <v>292</v>
      </c>
      <c r="R8" s="784">
        <f>(Rentabilitätsvorschau!F14 / 100)*S8</f>
        <v>17600</v>
      </c>
      <c r="S8" s="824">
        <v>8</v>
      </c>
      <c r="T8" s="784">
        <f>(Rentabilitätsvorschau!F14 / 100)*U8</f>
        <v>17600</v>
      </c>
      <c r="U8" s="824">
        <v>8</v>
      </c>
      <c r="V8" s="784">
        <f>(Rentabilitätsvorschau!F14 / 100)*W8</f>
        <v>13200</v>
      </c>
      <c r="W8" s="824">
        <v>6</v>
      </c>
      <c r="X8" s="784">
        <f>(Rentabilitätsvorschau!F14 / 100)*Y8</f>
        <v>17600</v>
      </c>
      <c r="Y8" s="824">
        <v>8</v>
      </c>
      <c r="Z8" s="784">
        <f>(Rentabilitätsvorschau!F14 / 100)*AA8</f>
        <v>22000</v>
      </c>
      <c r="AA8" s="824">
        <v>10</v>
      </c>
      <c r="AB8" s="784">
        <f>(Rentabilitätsvorschau!F14 / 100)*AC8</f>
        <v>26400</v>
      </c>
      <c r="AC8" s="824">
        <v>12</v>
      </c>
      <c r="AD8" s="42"/>
      <c r="AE8" s="42"/>
      <c r="AF8" s="42"/>
    </row>
    <row r="9" spans="1:32" ht="15" x14ac:dyDescent="0.2">
      <c r="A9" s="431"/>
      <c r="B9" s="432" t="s">
        <v>293</v>
      </c>
      <c r="C9" s="433"/>
      <c r="D9" s="434">
        <f>Rentabilitätsvorschau!$F$18/12</f>
        <v>0</v>
      </c>
      <c r="E9" s="792"/>
      <c r="F9" s="434">
        <f>Rentabilitätsvorschau!$F$18/12</f>
        <v>0</v>
      </c>
      <c r="G9" s="792"/>
      <c r="H9" s="434">
        <f>Rentabilitätsvorschau!$F$18/12</f>
        <v>0</v>
      </c>
      <c r="I9" s="792"/>
      <c r="J9" s="434">
        <f>Rentabilitätsvorschau!$F$18/12</f>
        <v>0</v>
      </c>
      <c r="K9" s="792"/>
      <c r="L9" s="434">
        <f>Rentabilitätsvorschau!$F$18/12</f>
        <v>0</v>
      </c>
      <c r="M9" s="792"/>
      <c r="N9" s="434">
        <f>Rentabilitätsvorschau!$F$18/12</f>
        <v>0</v>
      </c>
      <c r="O9" s="793"/>
      <c r="P9" s="805"/>
      <c r="Q9" s="50" t="s">
        <v>294</v>
      </c>
      <c r="R9" s="784">
        <f>(Rentabilitätsvorschau!F17 / 100)*S9</f>
        <v>0</v>
      </c>
      <c r="S9" s="824"/>
      <c r="T9" s="784">
        <f>(Rentabilitätsvorschau!F17 / 100)*U9</f>
        <v>0</v>
      </c>
      <c r="U9" s="824"/>
      <c r="V9" s="784">
        <f>(Rentabilitätsvorschau!F17 / 100)*W9</f>
        <v>0</v>
      </c>
      <c r="W9" s="824"/>
      <c r="X9" s="784">
        <f>(Rentabilitätsvorschau!F17 / 100)*Y9</f>
        <v>0</v>
      </c>
      <c r="Y9" s="824"/>
      <c r="Z9" s="784">
        <f>(Rentabilitätsvorschau!F17 / 100)*AA9</f>
        <v>0</v>
      </c>
      <c r="AA9" s="824"/>
      <c r="AB9" s="784">
        <f>(Rentabilitätsvorschau!F17 / 100)*AC9</f>
        <v>0</v>
      </c>
      <c r="AC9" s="824"/>
      <c r="AD9" s="49"/>
      <c r="AE9" s="49"/>
      <c r="AF9" s="49"/>
    </row>
    <row r="10" spans="1:32" ht="15" x14ac:dyDescent="0.2">
      <c r="A10" s="431"/>
      <c r="B10" s="432" t="s">
        <v>270</v>
      </c>
      <c r="C10" s="433"/>
      <c r="D10" s="435">
        <f>Rentabilitätsvorschau!$F$24/12</f>
        <v>3625</v>
      </c>
      <c r="E10" s="794"/>
      <c r="F10" s="435">
        <f>Rentabilitätsvorschau!$F$24/12</f>
        <v>3625</v>
      </c>
      <c r="G10" s="794"/>
      <c r="H10" s="435">
        <f>Rentabilitätsvorschau!$F$24/12</f>
        <v>3625</v>
      </c>
      <c r="I10" s="794"/>
      <c r="J10" s="435">
        <f>Rentabilitätsvorschau!$F$24/12</f>
        <v>3625</v>
      </c>
      <c r="K10" s="794"/>
      <c r="L10" s="435">
        <f>Rentabilitätsvorschau!$F$24/12</f>
        <v>3625</v>
      </c>
      <c r="M10" s="794"/>
      <c r="N10" s="435">
        <f>Rentabilitätsvorschau!$F$24/12</f>
        <v>3625</v>
      </c>
      <c r="O10" s="795"/>
      <c r="P10" s="805"/>
      <c r="Q10" s="50" t="s">
        <v>295</v>
      </c>
      <c r="R10" s="787"/>
      <c r="S10" s="786"/>
      <c r="T10" s="787"/>
      <c r="U10" s="786"/>
      <c r="V10" s="788"/>
      <c r="W10" s="786"/>
      <c r="X10" s="788"/>
      <c r="Y10" s="786"/>
      <c r="Z10" s="788"/>
      <c r="AA10" s="786"/>
      <c r="AB10" s="788"/>
      <c r="AC10" s="786"/>
      <c r="AD10" s="49"/>
      <c r="AE10" s="49"/>
      <c r="AF10" s="49"/>
    </row>
    <row r="11" spans="1:32" ht="15" x14ac:dyDescent="0.2">
      <c r="A11" s="431"/>
      <c r="B11" s="432" t="s">
        <v>296</v>
      </c>
      <c r="C11" s="433"/>
      <c r="D11" s="435">
        <f>Rentabilitätsvorschau!$F$54/12</f>
        <v>3500</v>
      </c>
      <c r="E11" s="794"/>
      <c r="F11" s="435">
        <f>Rentabilitätsvorschau!$F$54/12</f>
        <v>3500</v>
      </c>
      <c r="G11" s="794"/>
      <c r="H11" s="435">
        <f>Rentabilitätsvorschau!$F$54/12</f>
        <v>3500</v>
      </c>
      <c r="I11" s="794"/>
      <c r="J11" s="435">
        <f>Rentabilitätsvorschau!$F$54/12</f>
        <v>3500</v>
      </c>
      <c r="K11" s="794"/>
      <c r="L11" s="435">
        <f>Rentabilitätsvorschau!$F$54/12</f>
        <v>3500</v>
      </c>
      <c r="M11" s="794"/>
      <c r="N11" s="435">
        <f>Rentabilitätsvorschau!$F$54/12</f>
        <v>3500</v>
      </c>
      <c r="O11" s="795"/>
      <c r="P11" s="805"/>
      <c r="Q11" s="50" t="s">
        <v>297</v>
      </c>
      <c r="R11" s="51"/>
      <c r="S11" s="52"/>
      <c r="T11" s="51"/>
      <c r="U11" s="52"/>
      <c r="V11" s="53"/>
      <c r="W11" s="52"/>
      <c r="X11" s="53"/>
      <c r="Y11" s="52"/>
      <c r="Z11" s="53"/>
      <c r="AA11" s="52"/>
      <c r="AB11" s="53"/>
      <c r="AC11" s="52"/>
      <c r="AD11" s="49"/>
      <c r="AE11" s="49"/>
      <c r="AF11" s="49"/>
    </row>
    <row r="12" spans="1:32" ht="15" x14ac:dyDescent="0.2">
      <c r="A12" s="431"/>
      <c r="B12" s="432" t="s">
        <v>298</v>
      </c>
      <c r="C12" s="433"/>
      <c r="D12" s="435">
        <f>'Kapitaldienst Jahr 1-11'!D34/12</f>
        <v>466.66666666666669</v>
      </c>
      <c r="E12" s="794"/>
      <c r="F12" s="435">
        <f>'Kapitaldienst Jahr 1-11'!D34/12</f>
        <v>466.66666666666669</v>
      </c>
      <c r="G12" s="794"/>
      <c r="H12" s="435">
        <f>'Kapitaldienst Jahr 1-11'!D34/12</f>
        <v>466.66666666666669</v>
      </c>
      <c r="I12" s="794"/>
      <c r="J12" s="435">
        <f>'Kapitaldienst Jahr 1-11'!D34/12</f>
        <v>466.66666666666669</v>
      </c>
      <c r="K12" s="794"/>
      <c r="L12" s="435">
        <f>'Kapitaldienst Jahr 1-11'!D34/12</f>
        <v>466.66666666666669</v>
      </c>
      <c r="M12" s="794"/>
      <c r="N12" s="435">
        <f>'Kapitaldienst Jahr 1-11'!D34/12</f>
        <v>466.66666666666669</v>
      </c>
      <c r="O12" s="795"/>
      <c r="P12" s="805"/>
      <c r="Q12" s="49"/>
      <c r="R12" s="49"/>
      <c r="S12" s="49"/>
      <c r="T12" s="49"/>
      <c r="U12" s="49"/>
      <c r="V12" s="49"/>
      <c r="W12" s="49"/>
      <c r="X12" s="49"/>
      <c r="Y12" s="49"/>
      <c r="Z12" s="49"/>
      <c r="AA12" s="49"/>
      <c r="AB12" s="49"/>
      <c r="AC12" s="49"/>
      <c r="AD12" s="49"/>
      <c r="AE12" s="49"/>
      <c r="AF12" s="49"/>
    </row>
    <row r="13" spans="1:32" ht="15" x14ac:dyDescent="0.2">
      <c r="A13" s="431"/>
      <c r="B13" s="432" t="s">
        <v>299</v>
      </c>
      <c r="C13" s="433"/>
      <c r="D13" s="435">
        <f>('Liquiditätsplan 1. Jahr'!N55+'Liquiditätsplan 1. Jahr'!N56+'Liquiditätsplan 1. Jahr'!N57+'Liquiditätsplan 1. Jahr'!N59)/100*19</f>
        <v>6330.8</v>
      </c>
      <c r="E13" s="794"/>
      <c r="F13" s="435">
        <f>(D17+D18+D19+D21)/100*19</f>
        <v>3979.36</v>
      </c>
      <c r="G13" s="436"/>
      <c r="H13" s="435">
        <f>F22/100*19</f>
        <v>4255.0135833333334</v>
      </c>
      <c r="I13" s="436"/>
      <c r="J13" s="435">
        <f>H22/100*19</f>
        <v>3260.1735833333337</v>
      </c>
      <c r="K13" s="436"/>
      <c r="L13" s="435">
        <f>J22/100*19</f>
        <v>4255.0135833333334</v>
      </c>
      <c r="M13" s="436"/>
      <c r="N13" s="435">
        <f>L22/100*19</f>
        <v>5249.8535833333335</v>
      </c>
      <c r="O13" s="436"/>
      <c r="P13" s="805"/>
      <c r="Q13" s="49"/>
      <c r="R13" s="49"/>
      <c r="S13" s="49"/>
      <c r="T13" s="49"/>
      <c r="U13" s="49"/>
      <c r="V13" s="49"/>
      <c r="W13" s="49"/>
      <c r="X13" s="49"/>
      <c r="Y13" s="49"/>
      <c r="Z13" s="49"/>
      <c r="AA13" s="49"/>
      <c r="AB13" s="49"/>
      <c r="AC13" s="49"/>
      <c r="AD13" s="49"/>
      <c r="AE13" s="49"/>
      <c r="AF13" s="49"/>
    </row>
    <row r="14" spans="1:32" ht="15" x14ac:dyDescent="0.2">
      <c r="A14" s="431"/>
      <c r="B14" s="432" t="s">
        <v>195</v>
      </c>
      <c r="C14" s="433"/>
      <c r="D14" s="435">
        <f>Rentabilitätsvorschau!$F$27/12</f>
        <v>2916.6666666666665</v>
      </c>
      <c r="E14" s="794"/>
      <c r="F14" s="435">
        <f>Rentabilitätsvorschau!$F$27/12</f>
        <v>2916.6666666666665</v>
      </c>
      <c r="G14" s="436"/>
      <c r="H14" s="435">
        <f>Rentabilitätsvorschau!$F$27/12</f>
        <v>2916.6666666666665</v>
      </c>
      <c r="I14" s="436"/>
      <c r="J14" s="435">
        <f>Rentabilitätsvorschau!$F$27/12</f>
        <v>2916.6666666666665</v>
      </c>
      <c r="K14" s="436"/>
      <c r="L14" s="435">
        <f>Rentabilitätsvorschau!$F$27/12</f>
        <v>2916.6666666666665</v>
      </c>
      <c r="M14" s="436"/>
      <c r="N14" s="435">
        <f>Rentabilitätsvorschau!$F$27/12</f>
        <v>2916.6666666666665</v>
      </c>
      <c r="O14" s="795"/>
      <c r="P14" s="805"/>
      <c r="Q14" s="49"/>
      <c r="R14" s="49"/>
      <c r="S14" s="49"/>
      <c r="T14" s="49"/>
      <c r="U14" s="49"/>
      <c r="V14" s="49"/>
      <c r="W14" s="49"/>
      <c r="X14" s="49"/>
      <c r="Y14" s="49"/>
      <c r="Z14" s="49"/>
      <c r="AA14" s="49"/>
      <c r="AB14" s="49"/>
      <c r="AC14" s="49"/>
      <c r="AD14" s="49"/>
      <c r="AE14" s="49"/>
      <c r="AF14" s="49"/>
    </row>
    <row r="15" spans="1:32" ht="15.75" x14ac:dyDescent="0.25">
      <c r="A15" s="437"/>
      <c r="B15" s="438" t="s">
        <v>259</v>
      </c>
      <c r="C15" s="439"/>
      <c r="D15" s="440">
        <f t="shared" ref="D15:O15" si="0">SUM(D8:D14)</f>
        <v>24474.966666666667</v>
      </c>
      <c r="E15" s="441">
        <f t="shared" si="0"/>
        <v>0</v>
      </c>
      <c r="F15" s="440">
        <f t="shared" si="0"/>
        <v>22123.526666666665</v>
      </c>
      <c r="G15" s="441">
        <f t="shared" si="0"/>
        <v>0</v>
      </c>
      <c r="H15" s="440">
        <f t="shared" si="0"/>
        <v>22399.180250000001</v>
      </c>
      <c r="I15" s="441">
        <f t="shared" si="0"/>
        <v>0</v>
      </c>
      <c r="J15" s="440">
        <f t="shared" si="0"/>
        <v>21404.340250000001</v>
      </c>
      <c r="K15" s="441">
        <f t="shared" si="0"/>
        <v>0</v>
      </c>
      <c r="L15" s="440">
        <f t="shared" si="0"/>
        <v>22399.180250000001</v>
      </c>
      <c r="M15" s="441">
        <f t="shared" si="0"/>
        <v>0</v>
      </c>
      <c r="N15" s="440">
        <f t="shared" si="0"/>
        <v>23394.020249999998</v>
      </c>
      <c r="O15" s="441">
        <f t="shared" si="0"/>
        <v>0</v>
      </c>
      <c r="P15" s="805"/>
      <c r="Q15" s="49"/>
      <c r="R15" s="49"/>
      <c r="S15" s="49"/>
      <c r="T15" s="49"/>
      <c r="U15" s="49"/>
      <c r="V15" s="49"/>
      <c r="W15" s="49"/>
      <c r="X15" s="49"/>
      <c r="Y15" s="49"/>
      <c r="Z15" s="49"/>
      <c r="AA15" s="49"/>
      <c r="AB15" s="49"/>
      <c r="AC15" s="49"/>
      <c r="AD15" s="49"/>
      <c r="AE15" s="49"/>
      <c r="AF15" s="49"/>
    </row>
    <row r="16" spans="1:32" ht="15.75" x14ac:dyDescent="0.2">
      <c r="A16" s="419" t="s">
        <v>300</v>
      </c>
      <c r="B16" s="420" t="s">
        <v>301</v>
      </c>
      <c r="C16" s="442"/>
      <c r="D16" s="443"/>
      <c r="E16" s="444"/>
      <c r="F16" s="443"/>
      <c r="G16" s="444"/>
      <c r="H16" s="443"/>
      <c r="I16" s="444"/>
      <c r="J16" s="443"/>
      <c r="K16" s="444"/>
      <c r="L16" s="445"/>
      <c r="M16" s="444"/>
      <c r="N16" s="443"/>
      <c r="O16" s="554"/>
      <c r="P16" s="805"/>
      <c r="Q16" s="111"/>
      <c r="R16" s="971" t="s">
        <v>363</v>
      </c>
      <c r="S16" s="972"/>
      <c r="T16" s="971" t="s">
        <v>364</v>
      </c>
      <c r="U16" s="972"/>
      <c r="V16" s="971" t="s">
        <v>365</v>
      </c>
      <c r="W16" s="972"/>
      <c r="X16" s="971" t="s">
        <v>366</v>
      </c>
      <c r="Y16" s="972"/>
      <c r="Z16" s="971" t="s">
        <v>367</v>
      </c>
      <c r="AA16" s="972"/>
      <c r="AB16" s="971" t="s">
        <v>368</v>
      </c>
      <c r="AC16" s="972"/>
      <c r="AD16" s="59" t="s">
        <v>253</v>
      </c>
      <c r="AE16" s="60"/>
      <c r="AF16" s="49"/>
    </row>
    <row r="17" spans="1:32" ht="15" x14ac:dyDescent="0.2">
      <c r="A17" s="426"/>
      <c r="B17" s="446" t="s">
        <v>351</v>
      </c>
      <c r="C17" s="447"/>
      <c r="D17" s="429">
        <f>R8*1.19</f>
        <v>20944</v>
      </c>
      <c r="E17" s="429"/>
      <c r="F17" s="448">
        <f t="shared" ref="F17:N17" si="1">T8*1.19</f>
        <v>20944</v>
      </c>
      <c r="G17" s="429"/>
      <c r="H17" s="429">
        <f t="shared" si="1"/>
        <v>15708</v>
      </c>
      <c r="I17" s="429"/>
      <c r="J17" s="429">
        <f t="shared" si="1"/>
        <v>20944</v>
      </c>
      <c r="K17" s="429"/>
      <c r="L17" s="429">
        <f t="shared" si="1"/>
        <v>26180</v>
      </c>
      <c r="M17" s="429"/>
      <c r="N17" s="429">
        <f t="shared" si="1"/>
        <v>31416</v>
      </c>
      <c r="O17" s="791"/>
      <c r="P17" s="805"/>
      <c r="Q17" s="43"/>
      <c r="R17" s="44" t="s">
        <v>289</v>
      </c>
      <c r="S17" s="45" t="s">
        <v>35</v>
      </c>
      <c r="T17" s="44" t="s">
        <v>289</v>
      </c>
      <c r="U17" s="45" t="s">
        <v>35</v>
      </c>
      <c r="V17" s="44" t="s">
        <v>289</v>
      </c>
      <c r="W17" s="45" t="s">
        <v>35</v>
      </c>
      <c r="X17" s="44" t="s">
        <v>289</v>
      </c>
      <c r="Y17" s="45" t="s">
        <v>35</v>
      </c>
      <c r="Z17" s="44" t="s">
        <v>289</v>
      </c>
      <c r="AA17" s="45" t="s">
        <v>35</v>
      </c>
      <c r="AB17" s="44" t="s">
        <v>289</v>
      </c>
      <c r="AC17" s="45" t="s">
        <v>35</v>
      </c>
      <c r="AD17" s="50" t="s">
        <v>289</v>
      </c>
      <c r="AE17" s="50" t="s">
        <v>35</v>
      </c>
      <c r="AF17" s="49"/>
    </row>
    <row r="18" spans="1:32" ht="15" x14ac:dyDescent="0.2">
      <c r="A18" s="426"/>
      <c r="B18" s="446" t="s">
        <v>352</v>
      </c>
      <c r="C18" s="449"/>
      <c r="D18" s="434">
        <f>R9</f>
        <v>0</v>
      </c>
      <c r="E18" s="796"/>
      <c r="F18" s="450">
        <f>T9</f>
        <v>0</v>
      </c>
      <c r="G18" s="796"/>
      <c r="H18" s="434">
        <f>V9</f>
        <v>0</v>
      </c>
      <c r="I18" s="796"/>
      <c r="J18" s="434">
        <f>X9</f>
        <v>0</v>
      </c>
      <c r="K18" s="796"/>
      <c r="L18" s="434">
        <f>Z9</f>
        <v>0</v>
      </c>
      <c r="M18" s="796"/>
      <c r="N18" s="434">
        <f>AB9</f>
        <v>0</v>
      </c>
      <c r="O18" s="793"/>
      <c r="P18" s="805"/>
      <c r="Q18" s="47"/>
      <c r="R18" s="781" t="s">
        <v>249</v>
      </c>
      <c r="S18" s="782"/>
      <c r="T18" s="782"/>
      <c r="U18" s="782"/>
      <c r="V18" s="782"/>
      <c r="W18" s="782"/>
      <c r="X18" s="782"/>
      <c r="Y18" s="782"/>
      <c r="Z18" s="782"/>
      <c r="AA18" s="782"/>
      <c r="AB18" s="782"/>
      <c r="AC18" s="783"/>
      <c r="AD18" s="61"/>
      <c r="AE18" s="61"/>
      <c r="AF18" s="62"/>
    </row>
    <row r="19" spans="1:32" ht="15" x14ac:dyDescent="0.2">
      <c r="A19" s="431"/>
      <c r="B19" s="432" t="s">
        <v>353</v>
      </c>
      <c r="C19" s="451"/>
      <c r="D19" s="435"/>
      <c r="E19" s="797"/>
      <c r="F19" s="452"/>
      <c r="G19" s="797"/>
      <c r="H19" s="435"/>
      <c r="I19" s="797"/>
      <c r="J19" s="435"/>
      <c r="K19" s="797"/>
      <c r="L19" s="435"/>
      <c r="M19" s="797"/>
      <c r="N19" s="435"/>
      <c r="O19" s="795"/>
      <c r="P19" s="805"/>
      <c r="Q19" s="48" t="s">
        <v>292</v>
      </c>
      <c r="R19" s="807">
        <f>(Rentabilitätsvorschau!F14 / 100)*S19</f>
        <v>22000</v>
      </c>
      <c r="S19" s="824">
        <v>10</v>
      </c>
      <c r="T19" s="784">
        <f>(Rentabilitätsvorschau!F14 / 100)*U19</f>
        <v>13200</v>
      </c>
      <c r="U19" s="824">
        <v>6</v>
      </c>
      <c r="V19" s="784">
        <f>(Rentabilitätsvorschau!F14 / 100)*W19</f>
        <v>13200</v>
      </c>
      <c r="W19" s="824">
        <v>6</v>
      </c>
      <c r="X19" s="784">
        <f>(Rentabilitätsvorschau!F14 / 100)*Y19</f>
        <v>17600</v>
      </c>
      <c r="Y19" s="824">
        <v>8</v>
      </c>
      <c r="Z19" s="784">
        <f>(Rentabilitätsvorschau!F14 / 100)*AA19</f>
        <v>22000</v>
      </c>
      <c r="AA19" s="824">
        <v>10</v>
      </c>
      <c r="AB19" s="784">
        <f>(Rentabilitätsvorschau!F14 / 100)*AC19</f>
        <v>17600</v>
      </c>
      <c r="AC19" s="824">
        <v>8</v>
      </c>
      <c r="AD19" s="50">
        <f>AB19+Z19+X19+V19+T19+R19++R8+T8+V8+X8+Z8+AB8</f>
        <v>220000</v>
      </c>
      <c r="AE19" s="827">
        <f>AC19+AA19+Y19+W19+U19+AC8+AA8+Y8+W8+S8+U8+S19</f>
        <v>100</v>
      </c>
      <c r="AF19" s="63" t="str">
        <f>IF(AE19=100,"","Falsch")</f>
        <v/>
      </c>
    </row>
    <row r="20" spans="1:32" ht="15" x14ac:dyDescent="0.2">
      <c r="A20" s="431"/>
      <c r="B20" s="432" t="s">
        <v>302</v>
      </c>
      <c r="C20" s="451"/>
      <c r="D20" s="435">
        <f>('Liquiditätsplan 1. Jahr'!N46+'Liquiditätsplan 1. Jahr'!N47+'Liquiditätsplan 1. Jahr'!N52)/100*19</f>
        <v>1950.1690249999997</v>
      </c>
      <c r="E20" s="797"/>
      <c r="F20" s="452">
        <f>(D8+D9)/100*19</f>
        <v>1450.8083333333334</v>
      </c>
      <c r="G20" s="435"/>
      <c r="H20" s="435">
        <f>(F8+F9)/100*19</f>
        <v>1450.8083333333334</v>
      </c>
      <c r="I20" s="435"/>
      <c r="J20" s="435">
        <f>(H8+H9)/100*19</f>
        <v>1450.8083333333334</v>
      </c>
      <c r="K20" s="435"/>
      <c r="L20" s="435">
        <f>(J8+J9)/100*19</f>
        <v>1450.8083333333334</v>
      </c>
      <c r="M20" s="435"/>
      <c r="N20" s="435">
        <f>(L8+L9)/100*19</f>
        <v>1450.8083333333334</v>
      </c>
      <c r="O20" s="436"/>
      <c r="P20" s="805"/>
      <c r="Q20" s="50" t="s">
        <v>294</v>
      </c>
      <c r="R20" s="807">
        <f>(Rentabilitätsvorschau!F17 / 100)*S20</f>
        <v>0</v>
      </c>
      <c r="S20" s="825">
        <v>0</v>
      </c>
      <c r="T20" s="784">
        <f>(Rentabilitätsvorschau!F17 / 100)*U20</f>
        <v>0</v>
      </c>
      <c r="U20" s="826">
        <v>0</v>
      </c>
      <c r="V20" s="784">
        <f>(Rentabilitätsvorschau!F17 / 100)*W20</f>
        <v>0</v>
      </c>
      <c r="W20" s="826"/>
      <c r="X20" s="784">
        <f>(Rentabilitätsvorschau!F17 / 100)*Y20</f>
        <v>0</v>
      </c>
      <c r="Y20" s="826"/>
      <c r="Z20" s="784">
        <f>(Rentabilitätsvorschau!F17 / 100)*AA20</f>
        <v>0</v>
      </c>
      <c r="AA20" s="826"/>
      <c r="AB20" s="784">
        <f>(Rentabilitätsvorschau!F17 / 100)*AC20</f>
        <v>0</v>
      </c>
      <c r="AC20" s="826">
        <v>0</v>
      </c>
      <c r="AD20" s="61">
        <f>AB20+Z20+X20+V20+AB9+Z9+X9+V9+T20+T9+R9+R20</f>
        <v>0</v>
      </c>
      <c r="AE20" s="828">
        <f>AC20+AA20+Y20+W20+S20+S9+U9+W9+Y9+AA9+AC9</f>
        <v>0</v>
      </c>
      <c r="AF20" s="62" t="str">
        <f>IF(AE20=100,"","Falsch")</f>
        <v>Falsch</v>
      </c>
    </row>
    <row r="21" spans="1:32" ht="15" x14ac:dyDescent="0.2">
      <c r="A21" s="431"/>
      <c r="B21" s="432" t="s">
        <v>303</v>
      </c>
      <c r="C21" s="451"/>
      <c r="D21" s="435"/>
      <c r="E21" s="797"/>
      <c r="F21" s="452"/>
      <c r="G21" s="797"/>
      <c r="H21" s="435"/>
      <c r="I21" s="797"/>
      <c r="J21" s="435"/>
      <c r="K21" s="797"/>
      <c r="L21" s="435"/>
      <c r="M21" s="797"/>
      <c r="N21" s="435"/>
      <c r="O21" s="795"/>
      <c r="P21" s="805"/>
      <c r="Q21" s="50" t="s">
        <v>295</v>
      </c>
      <c r="R21" s="787"/>
      <c r="S21" s="786"/>
      <c r="T21" s="787"/>
      <c r="U21" s="786"/>
      <c r="V21" s="788"/>
      <c r="W21" s="824"/>
      <c r="X21" s="788"/>
      <c r="Y21" s="786"/>
      <c r="Z21" s="788"/>
      <c r="AA21" s="786"/>
      <c r="AB21" s="788"/>
      <c r="AC21" s="786"/>
      <c r="AD21" s="64"/>
      <c r="AE21" s="64"/>
      <c r="AF21" s="64"/>
    </row>
    <row r="22" spans="1:32" ht="15.75" x14ac:dyDescent="0.25">
      <c r="A22" s="437"/>
      <c r="B22" s="438" t="s">
        <v>259</v>
      </c>
      <c r="C22" s="453"/>
      <c r="D22" s="440">
        <f t="shared" ref="D22:O22" si="2">SUM(D17:D21)</f>
        <v>22894.169024999999</v>
      </c>
      <c r="E22" s="454">
        <f t="shared" si="2"/>
        <v>0</v>
      </c>
      <c r="F22" s="455">
        <f t="shared" si="2"/>
        <v>22394.808333333334</v>
      </c>
      <c r="G22" s="454">
        <f t="shared" si="2"/>
        <v>0</v>
      </c>
      <c r="H22" s="440">
        <f t="shared" si="2"/>
        <v>17158.808333333334</v>
      </c>
      <c r="I22" s="454">
        <f t="shared" si="2"/>
        <v>0</v>
      </c>
      <c r="J22" s="440">
        <f t="shared" si="2"/>
        <v>22394.808333333334</v>
      </c>
      <c r="K22" s="454">
        <f t="shared" si="2"/>
        <v>0</v>
      </c>
      <c r="L22" s="440">
        <f t="shared" si="2"/>
        <v>27630.808333333334</v>
      </c>
      <c r="M22" s="454">
        <f t="shared" si="2"/>
        <v>0</v>
      </c>
      <c r="N22" s="440">
        <f t="shared" si="2"/>
        <v>32866.808333333334</v>
      </c>
      <c r="O22" s="441">
        <f t="shared" si="2"/>
        <v>0</v>
      </c>
      <c r="P22" s="805"/>
      <c r="Q22" s="50" t="s">
        <v>297</v>
      </c>
      <c r="R22" s="51"/>
      <c r="S22" s="52"/>
      <c r="T22" s="51"/>
      <c r="U22" s="52"/>
      <c r="V22" s="53"/>
      <c r="W22" s="52"/>
      <c r="X22" s="53"/>
      <c r="Y22" s="52"/>
      <c r="Z22" s="53"/>
      <c r="AA22" s="52"/>
      <c r="AB22" s="53"/>
      <c r="AC22" s="52"/>
      <c r="AD22" s="43"/>
      <c r="AE22" s="43"/>
      <c r="AF22" s="43"/>
    </row>
    <row r="23" spans="1:32" ht="15.75" x14ac:dyDescent="0.2">
      <c r="A23" s="456"/>
      <c r="B23" s="457" t="s">
        <v>304</v>
      </c>
      <c r="C23" s="458"/>
      <c r="D23" s="459">
        <f t="shared" ref="D23:O23" si="3">D22-D15</f>
        <v>-1580.7976416666679</v>
      </c>
      <c r="E23" s="460">
        <f t="shared" si="3"/>
        <v>0</v>
      </c>
      <c r="F23" s="461">
        <f t="shared" si="3"/>
        <v>271.28166666666948</v>
      </c>
      <c r="G23" s="460">
        <f t="shared" si="3"/>
        <v>0</v>
      </c>
      <c r="H23" s="459">
        <f t="shared" si="3"/>
        <v>-5240.3719166666669</v>
      </c>
      <c r="I23" s="460">
        <f t="shared" si="3"/>
        <v>0</v>
      </c>
      <c r="J23" s="459">
        <f t="shared" si="3"/>
        <v>990.4680833333332</v>
      </c>
      <c r="K23" s="460">
        <f t="shared" si="3"/>
        <v>0</v>
      </c>
      <c r="L23" s="459">
        <f t="shared" si="3"/>
        <v>5231.6280833333331</v>
      </c>
      <c r="M23" s="460">
        <f t="shared" si="3"/>
        <v>0</v>
      </c>
      <c r="N23" s="459">
        <f t="shared" si="3"/>
        <v>9472.7880833333365</v>
      </c>
      <c r="O23" s="463">
        <f t="shared" si="3"/>
        <v>0</v>
      </c>
      <c r="P23" s="805"/>
      <c r="Q23" s="724"/>
      <c r="R23" s="724"/>
      <c r="S23" s="724"/>
      <c r="T23" s="699"/>
      <c r="U23" s="699"/>
      <c r="V23" s="699"/>
      <c r="W23" s="699"/>
      <c r="X23" s="699"/>
      <c r="Y23" s="699"/>
      <c r="Z23" s="699"/>
      <c r="AA23" s="699"/>
      <c r="AB23" s="699"/>
      <c r="AC23" s="699"/>
      <c r="AD23" s="699"/>
      <c r="AE23" s="699"/>
      <c r="AF23" s="699"/>
    </row>
    <row r="24" spans="1:32" ht="15.75" x14ac:dyDescent="0.2">
      <c r="A24" s="464" t="s">
        <v>305</v>
      </c>
      <c r="B24" s="465" t="s">
        <v>306</v>
      </c>
      <c r="C24" s="466"/>
      <c r="D24" s="467"/>
      <c r="E24" s="468"/>
      <c r="F24" s="467"/>
      <c r="G24" s="468"/>
      <c r="H24" s="467"/>
      <c r="I24" s="468"/>
      <c r="J24" s="467"/>
      <c r="K24" s="468"/>
      <c r="L24" s="467"/>
      <c r="M24" s="468"/>
      <c r="N24" s="467"/>
      <c r="O24" s="482"/>
      <c r="P24" s="805"/>
      <c r="Q24" s="805"/>
      <c r="R24" s="805"/>
      <c r="S24" s="805"/>
      <c r="T24" s="806"/>
      <c r="U24" s="806"/>
      <c r="V24" s="806"/>
      <c r="W24" s="806"/>
      <c r="X24" s="806"/>
      <c r="Y24" s="806"/>
      <c r="Z24" s="806"/>
      <c r="AA24" s="806"/>
      <c r="AB24" s="806"/>
      <c r="AC24" s="806"/>
      <c r="AD24" s="806"/>
      <c r="AE24" s="806"/>
      <c r="AF24" s="806"/>
    </row>
    <row r="25" spans="1:32" ht="15.75" x14ac:dyDescent="0.2">
      <c r="A25" s="469"/>
      <c r="B25" s="470" t="s">
        <v>307</v>
      </c>
      <c r="C25" s="471"/>
      <c r="D25" s="798"/>
      <c r="E25" s="799"/>
      <c r="F25" s="800"/>
      <c r="G25" s="801"/>
      <c r="H25" s="798"/>
      <c r="I25" s="799"/>
      <c r="J25" s="798"/>
      <c r="K25" s="799"/>
      <c r="L25" s="798"/>
      <c r="M25" s="799"/>
      <c r="N25" s="798"/>
      <c r="O25" s="799"/>
      <c r="P25" s="805"/>
      <c r="Q25" s="805"/>
      <c r="R25" s="805"/>
      <c r="S25" s="805"/>
      <c r="T25" s="806"/>
      <c r="U25" s="808"/>
      <c r="V25" s="808"/>
      <c r="W25" s="808"/>
      <c r="X25" s="806"/>
      <c r="Y25" s="806"/>
      <c r="Z25" s="806"/>
      <c r="AA25" s="806"/>
      <c r="AB25" s="806"/>
      <c r="AC25" s="806"/>
      <c r="AD25" s="806"/>
      <c r="AE25" s="806"/>
      <c r="AF25" s="806"/>
    </row>
    <row r="26" spans="1:32" ht="15.75" x14ac:dyDescent="0.2">
      <c r="A26" s="472"/>
      <c r="B26" s="473" t="s">
        <v>308</v>
      </c>
      <c r="C26" s="474"/>
      <c r="D26" s="475"/>
      <c r="E26" s="802"/>
      <c r="F26" s="803"/>
      <c r="G26" s="477"/>
      <c r="H26" s="475"/>
      <c r="I26" s="802"/>
      <c r="J26" s="475"/>
      <c r="K26" s="802"/>
      <c r="L26" s="475"/>
      <c r="M26" s="802"/>
      <c r="N26" s="475"/>
      <c r="O26" s="802"/>
      <c r="P26" s="805"/>
      <c r="Q26" s="805"/>
      <c r="R26" s="805"/>
      <c r="S26" s="805"/>
      <c r="T26" s="806"/>
      <c r="U26" s="809"/>
      <c r="V26" s="810"/>
      <c r="W26" s="809"/>
      <c r="X26" s="806"/>
      <c r="Y26" s="806"/>
      <c r="Z26" s="806"/>
      <c r="AA26" s="806"/>
      <c r="AB26" s="806"/>
      <c r="AC26" s="806"/>
      <c r="AD26" s="806"/>
      <c r="AE26" s="806"/>
      <c r="AF26" s="806"/>
    </row>
    <row r="27" spans="1:32" ht="15.75" x14ac:dyDescent="0.2">
      <c r="A27" s="472"/>
      <c r="B27" s="473" t="s">
        <v>309</v>
      </c>
      <c r="C27" s="474"/>
      <c r="D27" s="475"/>
      <c r="E27" s="802"/>
      <c r="F27" s="803"/>
      <c r="G27" s="477"/>
      <c r="H27" s="475"/>
      <c r="I27" s="802"/>
      <c r="J27" s="475"/>
      <c r="K27" s="802"/>
      <c r="L27" s="475"/>
      <c r="M27" s="802"/>
      <c r="N27" s="475"/>
      <c r="O27" s="802"/>
      <c r="P27" s="805"/>
      <c r="Q27" s="805"/>
      <c r="R27" s="805"/>
      <c r="S27" s="805"/>
      <c r="T27" s="806"/>
      <c r="U27" s="811"/>
      <c r="V27" s="810"/>
      <c r="W27" s="811"/>
      <c r="X27" s="806"/>
      <c r="Y27" s="806"/>
      <c r="Z27" s="806"/>
      <c r="AA27" s="806"/>
      <c r="AB27" s="806"/>
      <c r="AC27" s="806"/>
      <c r="AD27" s="806"/>
      <c r="AE27" s="806"/>
      <c r="AF27" s="806"/>
    </row>
    <row r="28" spans="1:32" ht="15.75" x14ac:dyDescent="0.2">
      <c r="A28" s="476"/>
      <c r="B28" s="477" t="s">
        <v>310</v>
      </c>
      <c r="C28" s="478"/>
      <c r="D28" s="475"/>
      <c r="E28" s="802"/>
      <c r="F28" s="803"/>
      <c r="G28" s="477"/>
      <c r="H28" s="475"/>
      <c r="I28" s="802"/>
      <c r="J28" s="475"/>
      <c r="K28" s="802"/>
      <c r="L28" s="475"/>
      <c r="M28" s="802"/>
      <c r="N28" s="475"/>
      <c r="O28" s="802"/>
      <c r="P28" s="805"/>
      <c r="Q28" s="805"/>
      <c r="R28" s="805"/>
      <c r="S28" s="805"/>
      <c r="T28" s="806"/>
      <c r="U28" s="811"/>
      <c r="V28" s="810"/>
      <c r="W28" s="811"/>
      <c r="X28" s="806"/>
      <c r="Y28" s="806"/>
      <c r="Z28" s="806"/>
      <c r="AA28" s="806"/>
      <c r="AB28" s="806"/>
      <c r="AC28" s="806"/>
      <c r="AD28" s="806"/>
      <c r="AE28" s="806"/>
      <c r="AF28" s="806"/>
    </row>
    <row r="29" spans="1:32" ht="15.75" x14ac:dyDescent="0.2">
      <c r="A29" s="479" t="s">
        <v>311</v>
      </c>
      <c r="B29" s="468" t="s">
        <v>312</v>
      </c>
      <c r="C29" s="480"/>
      <c r="D29" s="481"/>
      <c r="E29" s="468"/>
      <c r="F29" s="467"/>
      <c r="G29" s="468"/>
      <c r="H29" s="467"/>
      <c r="I29" s="468"/>
      <c r="J29" s="467"/>
      <c r="K29" s="468"/>
      <c r="L29" s="467"/>
      <c r="M29" s="468"/>
      <c r="N29" s="467"/>
      <c r="O29" s="482"/>
      <c r="P29" s="805"/>
      <c r="Q29" s="805"/>
      <c r="R29" s="805"/>
      <c r="S29" s="805"/>
      <c r="T29" s="806"/>
      <c r="U29" s="811"/>
      <c r="V29" s="810"/>
      <c r="W29" s="811"/>
      <c r="X29" s="806"/>
      <c r="Y29" s="806"/>
      <c r="Z29" s="806"/>
      <c r="AA29" s="806"/>
      <c r="AB29" s="806"/>
      <c r="AC29" s="806"/>
      <c r="AD29" s="806"/>
      <c r="AE29" s="806"/>
      <c r="AF29" s="806"/>
    </row>
    <row r="30" spans="1:32" ht="15.75" x14ac:dyDescent="0.2">
      <c r="A30" s="469"/>
      <c r="B30" s="470" t="s">
        <v>47</v>
      </c>
      <c r="C30" s="471"/>
      <c r="D30" s="798"/>
      <c r="E30" s="799"/>
      <c r="F30" s="800"/>
      <c r="G30" s="801"/>
      <c r="H30" s="798"/>
      <c r="I30" s="799"/>
      <c r="J30" s="798"/>
      <c r="K30" s="799"/>
      <c r="L30" s="798"/>
      <c r="M30" s="799"/>
      <c r="N30" s="798"/>
      <c r="O30" s="799"/>
      <c r="P30" s="805"/>
      <c r="Q30" s="805"/>
      <c r="R30" s="805"/>
      <c r="S30" s="805"/>
      <c r="T30" s="806"/>
      <c r="U30" s="811"/>
      <c r="V30" s="810"/>
      <c r="W30" s="811"/>
      <c r="X30" s="806"/>
      <c r="Y30" s="806"/>
      <c r="Z30" s="806"/>
      <c r="AA30" s="806"/>
      <c r="AB30" s="806"/>
      <c r="AC30" s="806"/>
      <c r="AD30" s="806"/>
      <c r="AE30" s="806"/>
      <c r="AF30" s="806"/>
    </row>
    <row r="31" spans="1:32" ht="15.75" x14ac:dyDescent="0.2">
      <c r="A31" s="472"/>
      <c r="B31" s="473" t="s">
        <v>307</v>
      </c>
      <c r="C31" s="474"/>
      <c r="D31" s="475"/>
      <c r="E31" s="802"/>
      <c r="F31" s="803"/>
      <c r="G31" s="477"/>
      <c r="H31" s="475"/>
      <c r="I31" s="802"/>
      <c r="J31" s="475"/>
      <c r="K31" s="802"/>
      <c r="L31" s="475"/>
      <c r="M31" s="802"/>
      <c r="N31" s="475"/>
      <c r="O31" s="802"/>
      <c r="P31" s="805"/>
      <c r="Q31" s="805"/>
      <c r="R31" s="805"/>
      <c r="S31" s="805"/>
      <c r="T31" s="806"/>
      <c r="U31" s="811"/>
      <c r="V31" s="810"/>
      <c r="W31" s="811"/>
      <c r="X31" s="806"/>
      <c r="Y31" s="806"/>
      <c r="Z31" s="806"/>
      <c r="AA31" s="806"/>
      <c r="AB31" s="806"/>
      <c r="AC31" s="806"/>
      <c r="AD31" s="806"/>
      <c r="AE31" s="806"/>
      <c r="AF31" s="806"/>
    </row>
    <row r="32" spans="1:32" ht="15.75" x14ac:dyDescent="0.2">
      <c r="A32" s="476"/>
      <c r="B32" s="477" t="s">
        <v>313</v>
      </c>
      <c r="C32" s="478"/>
      <c r="D32" s="475"/>
      <c r="E32" s="802"/>
      <c r="F32" s="803"/>
      <c r="G32" s="477"/>
      <c r="H32" s="475"/>
      <c r="I32" s="802"/>
      <c r="J32" s="475"/>
      <c r="K32" s="802"/>
      <c r="L32" s="475"/>
      <c r="M32" s="802"/>
      <c r="N32" s="475"/>
      <c r="O32" s="802"/>
      <c r="P32" s="805"/>
      <c r="Q32" s="805"/>
      <c r="R32" s="805"/>
      <c r="S32" s="805"/>
      <c r="T32" s="806"/>
      <c r="U32" s="811"/>
      <c r="V32" s="810"/>
      <c r="W32" s="811"/>
      <c r="X32" s="806"/>
      <c r="Y32" s="806"/>
      <c r="Z32" s="806"/>
      <c r="AA32" s="806"/>
      <c r="AB32" s="806"/>
      <c r="AC32" s="806"/>
      <c r="AD32" s="806"/>
      <c r="AE32" s="806"/>
      <c r="AF32" s="806"/>
    </row>
    <row r="33" spans="1:32" ht="15.75" x14ac:dyDescent="0.2">
      <c r="A33" s="479" t="s">
        <v>314</v>
      </c>
      <c r="B33" s="468" t="s">
        <v>315</v>
      </c>
      <c r="C33" s="480"/>
      <c r="D33" s="481"/>
      <c r="E33" s="468"/>
      <c r="F33" s="467"/>
      <c r="G33" s="468"/>
      <c r="H33" s="467"/>
      <c r="I33" s="468"/>
      <c r="J33" s="467"/>
      <c r="K33" s="468"/>
      <c r="L33" s="467"/>
      <c r="M33" s="468"/>
      <c r="N33" s="467"/>
      <c r="O33" s="482"/>
      <c r="P33" s="805"/>
      <c r="Q33" s="805"/>
      <c r="R33" s="805"/>
      <c r="S33" s="805"/>
      <c r="T33" s="806"/>
      <c r="U33" s="811"/>
      <c r="V33" s="810"/>
      <c r="W33" s="811"/>
      <c r="X33" s="806"/>
      <c r="Y33" s="806"/>
      <c r="Z33" s="806"/>
      <c r="AA33" s="806"/>
      <c r="AB33" s="806"/>
      <c r="AC33" s="806"/>
      <c r="AD33" s="806"/>
      <c r="AE33" s="806"/>
      <c r="AF33" s="806"/>
    </row>
    <row r="34" spans="1:32" ht="15" x14ac:dyDescent="0.2">
      <c r="A34" s="483"/>
      <c r="B34" s="470" t="s">
        <v>316</v>
      </c>
      <c r="C34" s="471"/>
      <c r="D34" s="484">
        <f t="shared" ref="D34:O34" si="4">ROUND(D23+SUM(D25:D28)-SUM(D30:D32),2)</f>
        <v>-1580.8</v>
      </c>
      <c r="E34" s="485">
        <f t="shared" si="4"/>
        <v>0</v>
      </c>
      <c r="F34" s="484">
        <f t="shared" si="4"/>
        <v>271.27999999999997</v>
      </c>
      <c r="G34" s="485">
        <f t="shared" si="4"/>
        <v>0</v>
      </c>
      <c r="H34" s="484">
        <f t="shared" si="4"/>
        <v>-5240.37</v>
      </c>
      <c r="I34" s="485">
        <f t="shared" si="4"/>
        <v>0</v>
      </c>
      <c r="J34" s="484">
        <f t="shared" si="4"/>
        <v>990.47</v>
      </c>
      <c r="K34" s="485">
        <f t="shared" si="4"/>
        <v>0</v>
      </c>
      <c r="L34" s="484">
        <f t="shared" si="4"/>
        <v>5231.63</v>
      </c>
      <c r="M34" s="485">
        <f t="shared" si="4"/>
        <v>0</v>
      </c>
      <c r="N34" s="484">
        <f t="shared" si="4"/>
        <v>9472.7900000000009</v>
      </c>
      <c r="O34" s="486">
        <f t="shared" si="4"/>
        <v>0</v>
      </c>
      <c r="P34" s="805"/>
      <c r="Q34" s="805"/>
      <c r="R34" s="805"/>
      <c r="S34" s="805"/>
      <c r="T34" s="806"/>
      <c r="U34" s="811"/>
      <c r="V34" s="810"/>
      <c r="W34" s="811"/>
      <c r="X34" s="806"/>
      <c r="Y34" s="806"/>
      <c r="Z34" s="806"/>
      <c r="AA34" s="806"/>
      <c r="AB34" s="806"/>
      <c r="AC34" s="806"/>
      <c r="AD34" s="806"/>
      <c r="AE34" s="806"/>
      <c r="AF34" s="806"/>
    </row>
    <row r="35" spans="1:32" ht="15" x14ac:dyDescent="0.2">
      <c r="A35" s="487"/>
      <c r="B35" s="473" t="s">
        <v>317</v>
      </c>
      <c r="C35" s="474"/>
      <c r="D35" s="488">
        <f>D30-D25</f>
        <v>0</v>
      </c>
      <c r="E35" s="489">
        <f>E31-E25</f>
        <v>0</v>
      </c>
      <c r="F35" s="488">
        <f t="shared" ref="F35:O35" si="5">D35+F31-F25</f>
        <v>0</v>
      </c>
      <c r="G35" s="489">
        <f t="shared" si="5"/>
        <v>0</v>
      </c>
      <c r="H35" s="488">
        <f t="shared" si="5"/>
        <v>0</v>
      </c>
      <c r="I35" s="489">
        <f t="shared" si="5"/>
        <v>0</v>
      </c>
      <c r="J35" s="488">
        <f t="shared" si="5"/>
        <v>0</v>
      </c>
      <c r="K35" s="489">
        <f t="shared" si="5"/>
        <v>0</v>
      </c>
      <c r="L35" s="488">
        <f t="shared" si="5"/>
        <v>0</v>
      </c>
      <c r="M35" s="489">
        <f t="shared" si="5"/>
        <v>0</v>
      </c>
      <c r="N35" s="488">
        <f t="shared" si="5"/>
        <v>0</v>
      </c>
      <c r="O35" s="489">
        <f t="shared" si="5"/>
        <v>0</v>
      </c>
      <c r="P35" s="805"/>
      <c r="Q35" s="805"/>
      <c r="R35" s="805"/>
      <c r="S35" s="805"/>
      <c r="T35" s="806"/>
      <c r="U35" s="811"/>
      <c r="V35" s="810"/>
      <c r="W35" s="811"/>
      <c r="X35" s="806"/>
      <c r="Y35" s="806"/>
      <c r="Z35" s="806"/>
      <c r="AA35" s="806"/>
      <c r="AB35" s="806"/>
      <c r="AC35" s="806"/>
      <c r="AD35" s="806"/>
      <c r="AE35" s="806"/>
      <c r="AF35" s="806"/>
    </row>
    <row r="36" spans="1:32" ht="15.75" x14ac:dyDescent="0.2">
      <c r="A36" s="472"/>
      <c r="B36" s="473" t="s">
        <v>318</v>
      </c>
      <c r="C36" s="474"/>
      <c r="D36" s="488">
        <f>SUM(D32:D32)</f>
        <v>0</v>
      </c>
      <c r="E36" s="489">
        <f>SUM(E32:E32)</f>
        <v>0</v>
      </c>
      <c r="F36" s="488">
        <f t="shared" ref="F36:O36" si="6">SUM(F32:F32)-F26+D36</f>
        <v>0</v>
      </c>
      <c r="G36" s="489">
        <f t="shared" si="6"/>
        <v>0</v>
      </c>
      <c r="H36" s="488">
        <f t="shared" si="6"/>
        <v>0</v>
      </c>
      <c r="I36" s="489">
        <f t="shared" si="6"/>
        <v>0</v>
      </c>
      <c r="J36" s="488">
        <f t="shared" si="6"/>
        <v>0</v>
      </c>
      <c r="K36" s="489">
        <f t="shared" si="6"/>
        <v>0</v>
      </c>
      <c r="L36" s="488">
        <f t="shared" si="6"/>
        <v>0</v>
      </c>
      <c r="M36" s="489">
        <f t="shared" si="6"/>
        <v>0</v>
      </c>
      <c r="N36" s="488">
        <f t="shared" si="6"/>
        <v>0</v>
      </c>
      <c r="O36" s="489">
        <f t="shared" si="6"/>
        <v>0</v>
      </c>
      <c r="P36" s="805"/>
      <c r="Q36" s="805"/>
      <c r="R36" s="805"/>
      <c r="S36" s="805"/>
      <c r="T36" s="806"/>
      <c r="U36" s="811"/>
      <c r="V36" s="810"/>
      <c r="W36" s="811"/>
      <c r="X36" s="806"/>
      <c r="Y36" s="806"/>
      <c r="Z36" s="806"/>
      <c r="AA36" s="806"/>
      <c r="AB36" s="806"/>
      <c r="AC36" s="806"/>
      <c r="AD36" s="806"/>
      <c r="AE36" s="806"/>
      <c r="AF36" s="806"/>
    </row>
    <row r="37" spans="1:32" ht="15.75" x14ac:dyDescent="0.2">
      <c r="A37" s="490"/>
      <c r="B37" s="491" t="s">
        <v>319</v>
      </c>
      <c r="C37" s="492"/>
      <c r="D37" s="493">
        <f>D27+D28</f>
        <v>0</v>
      </c>
      <c r="E37" s="494">
        <f>E27+E28</f>
        <v>0</v>
      </c>
      <c r="F37" s="493">
        <f t="shared" ref="F37:O37" si="7">F27+F28+D37-F30</f>
        <v>0</v>
      </c>
      <c r="G37" s="494">
        <f t="shared" si="7"/>
        <v>0</v>
      </c>
      <c r="H37" s="493">
        <f t="shared" si="7"/>
        <v>0</v>
      </c>
      <c r="I37" s="494">
        <f t="shared" si="7"/>
        <v>0</v>
      </c>
      <c r="J37" s="493">
        <f t="shared" si="7"/>
        <v>0</v>
      </c>
      <c r="K37" s="494">
        <f t="shared" si="7"/>
        <v>0</v>
      </c>
      <c r="L37" s="493">
        <f t="shared" si="7"/>
        <v>0</v>
      </c>
      <c r="M37" s="494">
        <f t="shared" si="7"/>
        <v>0</v>
      </c>
      <c r="N37" s="493">
        <f t="shared" si="7"/>
        <v>0</v>
      </c>
      <c r="O37" s="494">
        <f t="shared" si="7"/>
        <v>0</v>
      </c>
      <c r="P37" s="805"/>
      <c r="Q37" s="805"/>
      <c r="R37" s="805"/>
      <c r="S37" s="805"/>
      <c r="T37" s="806"/>
      <c r="U37" s="811"/>
      <c r="V37" s="810"/>
      <c r="W37" s="811"/>
      <c r="X37" s="806"/>
      <c r="Y37" s="806"/>
      <c r="Z37" s="806"/>
      <c r="AA37" s="806"/>
      <c r="AB37" s="806"/>
      <c r="AC37" s="806"/>
      <c r="AD37" s="806"/>
      <c r="AE37" s="806"/>
      <c r="AF37" s="806"/>
    </row>
    <row r="38" spans="1:32" ht="15.75" x14ac:dyDescent="0.2">
      <c r="A38" s="490"/>
      <c r="B38" s="491"/>
      <c r="C38" s="492"/>
      <c r="D38" s="627"/>
      <c r="E38" s="491"/>
      <c r="F38" s="627"/>
      <c r="G38" s="491"/>
      <c r="H38" s="627"/>
      <c r="I38" s="491"/>
      <c r="J38" s="627"/>
      <c r="K38" s="491"/>
      <c r="L38" s="627"/>
      <c r="M38" s="491"/>
      <c r="N38" s="627"/>
      <c r="O38" s="494"/>
      <c r="P38" s="805"/>
      <c r="Q38" s="805"/>
      <c r="R38" s="805"/>
      <c r="S38" s="805"/>
      <c r="T38" s="806"/>
      <c r="U38" s="811"/>
      <c r="V38" s="810"/>
      <c r="W38" s="811"/>
      <c r="X38" s="806"/>
      <c r="Y38" s="806"/>
      <c r="Z38" s="806"/>
      <c r="AA38" s="806"/>
      <c r="AB38" s="806"/>
      <c r="AC38" s="806"/>
      <c r="AD38" s="806"/>
      <c r="AE38" s="806"/>
      <c r="AF38" s="806"/>
    </row>
    <row r="39" spans="1:32" ht="20.25" x14ac:dyDescent="0.2">
      <c r="A39" s="30" t="s">
        <v>283</v>
      </c>
      <c r="B39" s="32"/>
      <c r="C39" s="32"/>
      <c r="D39" s="33" t="s">
        <v>320</v>
      </c>
      <c r="E39" s="36"/>
      <c r="F39" s="625"/>
      <c r="G39" s="36"/>
      <c r="H39" s="625" t="str">
        <f>H1</f>
        <v>2. Jahr</v>
      </c>
      <c r="I39" s="36"/>
      <c r="J39" s="625"/>
      <c r="K39" s="36"/>
      <c r="L39" s="625"/>
      <c r="M39" s="36"/>
      <c r="N39" s="625"/>
      <c r="O39" s="626"/>
      <c r="P39" s="805"/>
      <c r="Q39" s="805"/>
      <c r="R39" s="805"/>
      <c r="S39" s="805"/>
      <c r="T39" s="806"/>
      <c r="U39" s="810"/>
      <c r="V39" s="810"/>
      <c r="W39" s="810"/>
      <c r="X39" s="806"/>
      <c r="Y39" s="806"/>
      <c r="Z39" s="806"/>
      <c r="AA39" s="806"/>
      <c r="AB39" s="806"/>
      <c r="AC39" s="806"/>
      <c r="AD39" s="806"/>
      <c r="AE39" s="806"/>
      <c r="AF39" s="806"/>
    </row>
    <row r="40" spans="1:32" ht="15" x14ac:dyDescent="0.2">
      <c r="A40" s="407"/>
      <c r="B40" s="407"/>
      <c r="C40" s="407"/>
      <c r="D40" s="408"/>
      <c r="E40" s="407"/>
      <c r="F40" s="408"/>
      <c r="G40" s="407"/>
      <c r="H40" s="408"/>
      <c r="I40" s="407"/>
      <c r="J40" s="408"/>
      <c r="K40" s="407"/>
      <c r="L40" s="408"/>
      <c r="M40" s="407"/>
      <c r="N40" s="408"/>
      <c r="O40" s="407"/>
      <c r="P40" s="805"/>
      <c r="Q40" s="805"/>
      <c r="R40" s="805"/>
      <c r="S40" s="805"/>
      <c r="T40" s="806"/>
      <c r="U40" s="806"/>
      <c r="V40" s="806"/>
      <c r="W40" s="806"/>
      <c r="X40" s="806"/>
      <c r="Y40" s="806"/>
      <c r="Z40" s="806"/>
      <c r="AA40" s="806"/>
      <c r="AB40" s="806"/>
      <c r="AC40" s="806"/>
      <c r="AD40" s="806"/>
      <c r="AE40" s="806"/>
      <c r="AF40" s="806"/>
    </row>
    <row r="41" spans="1:32" ht="15.75" x14ac:dyDescent="0.25">
      <c r="A41" s="407"/>
      <c r="B41" s="409" t="s">
        <v>285</v>
      </c>
      <c r="C41" s="407"/>
      <c r="D41" s="408"/>
      <c r="E41" s="407"/>
      <c r="F41" s="408"/>
      <c r="G41" s="407"/>
      <c r="H41" s="408"/>
      <c r="I41" s="407"/>
      <c r="J41" s="408"/>
      <c r="K41" s="407"/>
      <c r="L41" s="408"/>
      <c r="M41" s="407"/>
      <c r="N41" s="408"/>
      <c r="O41" s="407"/>
      <c r="P41" s="805"/>
      <c r="Q41" s="805"/>
      <c r="R41" s="805"/>
      <c r="S41" s="805"/>
      <c r="T41" s="806"/>
      <c r="U41" s="806"/>
      <c r="V41" s="806"/>
      <c r="W41" s="806"/>
      <c r="X41" s="806"/>
      <c r="Y41" s="806"/>
      <c r="Z41" s="806"/>
      <c r="AA41" s="806"/>
      <c r="AB41" s="806"/>
      <c r="AC41" s="806"/>
      <c r="AD41" s="806"/>
      <c r="AE41" s="806"/>
      <c r="AF41" s="806"/>
    </row>
    <row r="42" spans="1:32" ht="15" x14ac:dyDescent="0.2">
      <c r="A42" s="497"/>
      <c r="B42" s="497"/>
      <c r="C42" s="497"/>
      <c r="D42" s="498"/>
      <c r="E42" s="497"/>
      <c r="F42" s="498"/>
      <c r="G42" s="497"/>
      <c r="H42" s="498"/>
      <c r="I42" s="497"/>
      <c r="J42" s="498"/>
      <c r="K42" s="497"/>
      <c r="L42" s="498"/>
      <c r="M42" s="497"/>
      <c r="N42" s="498"/>
      <c r="O42" s="497"/>
      <c r="P42" s="805"/>
      <c r="Q42" s="805"/>
      <c r="R42" s="805"/>
      <c r="S42" s="805"/>
      <c r="T42" s="806"/>
      <c r="U42" s="806"/>
      <c r="V42" s="806"/>
      <c r="W42" s="806"/>
      <c r="X42" s="806"/>
      <c r="Y42" s="806"/>
      <c r="Z42" s="806"/>
      <c r="AA42" s="806"/>
      <c r="AB42" s="806"/>
      <c r="AC42" s="806"/>
      <c r="AD42" s="806"/>
      <c r="AE42" s="806"/>
      <c r="AF42" s="806"/>
    </row>
    <row r="43" spans="1:32" ht="15.75" x14ac:dyDescent="0.2">
      <c r="A43" s="499"/>
      <c r="B43" s="500" t="s">
        <v>286</v>
      </c>
      <c r="C43" s="501"/>
      <c r="D43" s="973" t="str">
        <f>R16</f>
        <v>Dezember</v>
      </c>
      <c r="E43" s="976"/>
      <c r="F43" s="973" t="str">
        <f>T16</f>
        <v>Januar</v>
      </c>
      <c r="G43" s="976"/>
      <c r="H43" s="973" t="str">
        <f>V16</f>
        <v>Februar</v>
      </c>
      <c r="I43" s="976"/>
      <c r="J43" s="973" t="str">
        <f>X16</f>
        <v>März</v>
      </c>
      <c r="K43" s="976"/>
      <c r="L43" s="973" t="str">
        <f>Z16</f>
        <v>April</v>
      </c>
      <c r="M43" s="976"/>
      <c r="N43" s="973" t="str">
        <f>AB16</f>
        <v>Mai</v>
      </c>
      <c r="O43" s="976"/>
      <c r="P43" s="805"/>
      <c r="Q43" s="805"/>
      <c r="R43" s="805"/>
      <c r="S43" s="805"/>
      <c r="T43" s="806"/>
      <c r="U43" s="806"/>
      <c r="V43" s="806"/>
      <c r="W43" s="806"/>
      <c r="X43" s="806"/>
      <c r="Y43" s="806"/>
      <c r="Z43" s="806"/>
      <c r="AA43" s="806"/>
      <c r="AB43" s="806"/>
      <c r="AC43" s="806"/>
      <c r="AD43" s="806"/>
      <c r="AE43" s="806"/>
      <c r="AF43" s="806"/>
    </row>
    <row r="44" spans="1:32" ht="15.75" x14ac:dyDescent="0.25">
      <c r="A44" s="502"/>
      <c r="B44" s="503"/>
      <c r="C44" s="504"/>
      <c r="D44" s="505" t="s">
        <v>287</v>
      </c>
      <c r="E44" s="504" t="s">
        <v>288</v>
      </c>
      <c r="F44" s="505" t="s">
        <v>287</v>
      </c>
      <c r="G44" s="504" t="s">
        <v>288</v>
      </c>
      <c r="H44" s="505" t="s">
        <v>287</v>
      </c>
      <c r="I44" s="504" t="s">
        <v>288</v>
      </c>
      <c r="J44" s="505" t="s">
        <v>287</v>
      </c>
      <c r="K44" s="504" t="s">
        <v>288</v>
      </c>
      <c r="L44" s="505" t="s">
        <v>287</v>
      </c>
      <c r="M44" s="504" t="s">
        <v>288</v>
      </c>
      <c r="N44" s="505" t="s">
        <v>287</v>
      </c>
      <c r="O44" s="504" t="s">
        <v>288</v>
      </c>
      <c r="P44" s="805"/>
      <c r="Q44" s="805"/>
      <c r="R44" s="805"/>
      <c r="S44" s="805"/>
      <c r="T44" s="806"/>
      <c r="U44" s="806"/>
      <c r="V44" s="806"/>
      <c r="W44" s="806"/>
      <c r="X44" s="806"/>
      <c r="Y44" s="806"/>
      <c r="Z44" s="806"/>
      <c r="AA44" s="806"/>
      <c r="AB44" s="806"/>
      <c r="AC44" s="806"/>
      <c r="AD44" s="806"/>
      <c r="AE44" s="806"/>
      <c r="AF44" s="806"/>
    </row>
    <row r="45" spans="1:32" ht="15.75" x14ac:dyDescent="0.2">
      <c r="A45" s="506" t="s">
        <v>290</v>
      </c>
      <c r="B45" s="507" t="s">
        <v>291</v>
      </c>
      <c r="C45" s="508"/>
      <c r="D45" s="509"/>
      <c r="E45" s="510"/>
      <c r="F45" s="511"/>
      <c r="G45" s="510"/>
      <c r="H45" s="511"/>
      <c r="I45" s="510"/>
      <c r="J45" s="511"/>
      <c r="K45" s="510"/>
      <c r="L45" s="511"/>
      <c r="M45" s="510"/>
      <c r="N45" s="511"/>
      <c r="O45" s="512"/>
      <c r="P45" s="805"/>
      <c r="Q45" s="805"/>
      <c r="R45" s="805"/>
      <c r="S45" s="805"/>
      <c r="T45" s="806"/>
      <c r="U45" s="806"/>
      <c r="V45" s="806"/>
      <c r="W45" s="806"/>
      <c r="X45" s="806"/>
      <c r="Y45" s="806"/>
      <c r="Z45" s="806"/>
      <c r="AA45" s="806"/>
      <c r="AB45" s="806"/>
      <c r="AC45" s="806"/>
      <c r="AD45" s="806"/>
      <c r="AE45" s="806"/>
      <c r="AF45" s="806"/>
    </row>
    <row r="46" spans="1:32" ht="15" x14ac:dyDescent="0.2">
      <c r="A46" s="513"/>
      <c r="B46" s="555" t="str">
        <f>B8</f>
        <v>Material</v>
      </c>
      <c r="C46" s="556"/>
      <c r="D46" s="557">
        <f>(Rentabilitätsvorschau!$F$15/12)*1.19</f>
        <v>7635.833333333333</v>
      </c>
      <c r="E46" s="558"/>
      <c r="F46" s="557">
        <f>(Rentabilitätsvorschau!$F$15/12)*1.19</f>
        <v>7635.833333333333</v>
      </c>
      <c r="G46" s="558"/>
      <c r="H46" s="557">
        <f>(Rentabilitätsvorschau!$F$15/12)*1.19</f>
        <v>7635.833333333333</v>
      </c>
      <c r="I46" s="558"/>
      <c r="J46" s="557">
        <f>(Rentabilitätsvorschau!$F$15/12)*1.19</f>
        <v>7635.833333333333</v>
      </c>
      <c r="K46" s="558"/>
      <c r="L46" s="557">
        <f>(Rentabilitätsvorschau!$F$15/12)*1.19</f>
        <v>7635.833333333333</v>
      </c>
      <c r="M46" s="558"/>
      <c r="N46" s="557">
        <f>(Rentabilitätsvorschau!$F$15/12)*1.19</f>
        <v>7635.833333333333</v>
      </c>
      <c r="O46" s="812"/>
      <c r="P46" s="805"/>
      <c r="Q46" s="805"/>
      <c r="R46" s="805"/>
      <c r="S46" s="805"/>
      <c r="T46" s="806"/>
      <c r="U46" s="806"/>
      <c r="V46" s="806"/>
      <c r="W46" s="806"/>
      <c r="X46" s="806"/>
      <c r="Y46" s="806"/>
      <c r="Z46" s="806"/>
      <c r="AA46" s="806"/>
      <c r="AB46" s="806"/>
      <c r="AC46" s="806"/>
      <c r="AD46" s="806"/>
      <c r="AE46" s="806"/>
      <c r="AF46" s="806"/>
    </row>
    <row r="47" spans="1:32" ht="15" x14ac:dyDescent="0.2">
      <c r="A47" s="513"/>
      <c r="B47" s="559" t="str">
        <f>B9</f>
        <v>Handelsware</v>
      </c>
      <c r="C47" s="560"/>
      <c r="D47" s="561">
        <f>Rentabilitätsvorschau!$F$18/12</f>
        <v>0</v>
      </c>
      <c r="E47" s="813"/>
      <c r="F47" s="561">
        <f>Rentabilitätsvorschau!$F$18/12</f>
        <v>0</v>
      </c>
      <c r="G47" s="813"/>
      <c r="H47" s="561">
        <f>Rentabilitätsvorschau!$F$18/12</f>
        <v>0</v>
      </c>
      <c r="I47" s="813"/>
      <c r="J47" s="561">
        <f>Rentabilitätsvorschau!$F$18/12</f>
        <v>0</v>
      </c>
      <c r="K47" s="813"/>
      <c r="L47" s="561">
        <f>Rentabilitätsvorschau!$F$18/12</f>
        <v>0</v>
      </c>
      <c r="M47" s="813"/>
      <c r="N47" s="561">
        <f>Rentabilitätsvorschau!$F$18/12</f>
        <v>0</v>
      </c>
      <c r="O47" s="813"/>
      <c r="P47" s="805"/>
      <c r="Q47" s="805"/>
      <c r="R47" s="805"/>
      <c r="S47" s="805"/>
      <c r="T47" s="806"/>
      <c r="U47" s="806"/>
      <c r="V47" s="806"/>
      <c r="W47" s="806"/>
      <c r="X47" s="806"/>
      <c r="Y47" s="806"/>
      <c r="Z47" s="806"/>
      <c r="AA47" s="806"/>
      <c r="AB47" s="806"/>
      <c r="AC47" s="806"/>
      <c r="AD47" s="806"/>
      <c r="AE47" s="806"/>
      <c r="AF47" s="806"/>
    </row>
    <row r="48" spans="1:32" ht="15" x14ac:dyDescent="0.2">
      <c r="A48" s="513"/>
      <c r="B48" s="559" t="str">
        <f>B10</f>
        <v>Personal</v>
      </c>
      <c r="C48" s="560"/>
      <c r="D48" s="562">
        <f>Rentabilitätsvorschau!$F$24/12</f>
        <v>3625</v>
      </c>
      <c r="E48" s="813"/>
      <c r="F48" s="562">
        <f>Rentabilitätsvorschau!$F$24/12</f>
        <v>3625</v>
      </c>
      <c r="G48" s="813"/>
      <c r="H48" s="562">
        <f>Rentabilitätsvorschau!$F$24/12</f>
        <v>3625</v>
      </c>
      <c r="I48" s="813"/>
      <c r="J48" s="562">
        <f>Rentabilitätsvorschau!$F$24/12</f>
        <v>3625</v>
      </c>
      <c r="K48" s="813"/>
      <c r="L48" s="562">
        <f>Rentabilitätsvorschau!$F$24/12</f>
        <v>3625</v>
      </c>
      <c r="M48" s="813"/>
      <c r="N48" s="562">
        <f>Rentabilitätsvorschau!$F$24/12</f>
        <v>3625</v>
      </c>
      <c r="O48" s="813"/>
      <c r="P48" s="805"/>
      <c r="Q48" s="805"/>
      <c r="R48" s="805"/>
      <c r="S48" s="805"/>
      <c r="T48" s="806"/>
      <c r="U48" s="806"/>
      <c r="V48" s="806"/>
      <c r="W48" s="806"/>
      <c r="X48" s="806"/>
      <c r="Y48" s="806"/>
      <c r="Z48" s="806"/>
      <c r="AA48" s="806"/>
      <c r="AB48" s="806"/>
      <c r="AC48" s="806"/>
      <c r="AD48" s="806"/>
      <c r="AE48" s="806"/>
      <c r="AF48" s="806"/>
    </row>
    <row r="49" spans="1:32" ht="15" x14ac:dyDescent="0.2">
      <c r="A49" s="513"/>
      <c r="B49" s="559" t="str">
        <f>B11</f>
        <v>Privatentnahmen</v>
      </c>
      <c r="C49" s="560"/>
      <c r="D49" s="562">
        <f>Rentabilitätsvorschau!$F$54/12</f>
        <v>3500</v>
      </c>
      <c r="E49" s="813"/>
      <c r="F49" s="562">
        <f>Rentabilitätsvorschau!$F$54/12</f>
        <v>3500</v>
      </c>
      <c r="G49" s="813"/>
      <c r="H49" s="562">
        <f>Rentabilitätsvorschau!$F$54/12</f>
        <v>3500</v>
      </c>
      <c r="I49" s="813"/>
      <c r="J49" s="562">
        <f>Rentabilitätsvorschau!$F$54/12</f>
        <v>3500</v>
      </c>
      <c r="K49" s="813"/>
      <c r="L49" s="562">
        <f>Rentabilitätsvorschau!$F$54/12</f>
        <v>3500</v>
      </c>
      <c r="M49" s="813"/>
      <c r="N49" s="562">
        <f>Rentabilitätsvorschau!$F$54/12</f>
        <v>3500</v>
      </c>
      <c r="O49" s="813"/>
      <c r="P49" s="805"/>
      <c r="Q49" s="805"/>
      <c r="R49" s="805"/>
      <c r="S49" s="805"/>
      <c r="T49" s="806"/>
      <c r="U49" s="806"/>
      <c r="V49" s="806"/>
      <c r="W49" s="806"/>
      <c r="X49" s="806"/>
      <c r="Y49" s="806"/>
      <c r="Z49" s="806"/>
      <c r="AA49" s="806"/>
      <c r="AB49" s="806"/>
      <c r="AC49" s="806"/>
      <c r="AD49" s="806"/>
      <c r="AE49" s="806"/>
      <c r="AF49" s="806"/>
    </row>
    <row r="50" spans="1:32" ht="15" x14ac:dyDescent="0.2">
      <c r="A50" s="513"/>
      <c r="B50" s="559" t="str">
        <f>B12</f>
        <v>Kapitaldienst</v>
      </c>
      <c r="C50" s="560"/>
      <c r="D50" s="562">
        <f>'Kapitaldienst Jahr 1-11'!D34/12</f>
        <v>466.66666666666669</v>
      </c>
      <c r="E50" s="813"/>
      <c r="F50" s="562">
        <f>'Kapitaldienst Jahr 1-11'!D34/12</f>
        <v>466.66666666666669</v>
      </c>
      <c r="G50" s="813"/>
      <c r="H50" s="562">
        <f>'Kapitaldienst Jahr 1-11'!D34/12</f>
        <v>466.66666666666669</v>
      </c>
      <c r="I50" s="813"/>
      <c r="J50" s="562">
        <f>'Kapitaldienst Jahr 1-11'!D34/12</f>
        <v>466.66666666666669</v>
      </c>
      <c r="K50" s="813"/>
      <c r="L50" s="562">
        <f>'Kapitaldienst Jahr 1-11'!D34/12</f>
        <v>466.66666666666669</v>
      </c>
      <c r="M50" s="813"/>
      <c r="N50" s="562">
        <f>'Kapitaldienst Jahr 1-11'!D34/12</f>
        <v>466.66666666666669</v>
      </c>
      <c r="O50" s="813"/>
      <c r="P50" s="805"/>
      <c r="Q50" s="805"/>
      <c r="R50" s="805"/>
      <c r="S50" s="805"/>
      <c r="T50" s="806"/>
      <c r="U50" s="806"/>
      <c r="V50" s="806"/>
      <c r="W50" s="806"/>
      <c r="X50" s="806"/>
      <c r="Y50" s="806"/>
      <c r="Z50" s="806"/>
      <c r="AA50" s="806"/>
      <c r="AB50" s="806"/>
      <c r="AC50" s="806"/>
      <c r="AD50" s="806"/>
      <c r="AE50" s="806"/>
      <c r="AF50" s="806"/>
    </row>
    <row r="51" spans="1:32" ht="15" x14ac:dyDescent="0.2">
      <c r="A51" s="513"/>
      <c r="B51" s="559" t="s">
        <v>299</v>
      </c>
      <c r="C51" s="560"/>
      <c r="D51" s="435">
        <f>(N17+N18+N19+N21)/100*19</f>
        <v>5969.0400000000009</v>
      </c>
      <c r="E51" s="436"/>
      <c r="F51" s="435">
        <f>(P17+P18+P19+P21)/100*19</f>
        <v>0</v>
      </c>
      <c r="G51" s="436"/>
      <c r="H51" s="435">
        <f>(F55+F56+F57+F59)/100*19</f>
        <v>2984.5200000000004</v>
      </c>
      <c r="I51" s="436"/>
      <c r="J51" s="435">
        <f>(H55+H56+H57+H59)/100*19</f>
        <v>2984.5200000000004</v>
      </c>
      <c r="K51" s="436"/>
      <c r="L51" s="435">
        <f>(J55+J56+J57+J59)/100*19</f>
        <v>3979.36</v>
      </c>
      <c r="M51" s="436"/>
      <c r="N51" s="435">
        <f>(L55+L56+L57+L59)/100*19</f>
        <v>4974.2</v>
      </c>
      <c r="O51" s="813"/>
      <c r="P51" s="805"/>
      <c r="Q51" s="805"/>
      <c r="R51" s="805"/>
      <c r="S51" s="805"/>
      <c r="T51" s="806"/>
      <c r="U51" s="806"/>
      <c r="V51" s="806"/>
      <c r="W51" s="806"/>
      <c r="X51" s="806"/>
      <c r="Y51" s="806"/>
      <c r="Z51" s="806"/>
      <c r="AA51" s="806"/>
      <c r="AB51" s="806"/>
      <c r="AC51" s="806"/>
      <c r="AD51" s="806"/>
      <c r="AE51" s="806"/>
      <c r="AF51" s="806"/>
    </row>
    <row r="52" spans="1:32" ht="15" x14ac:dyDescent="0.2">
      <c r="A52" s="513"/>
      <c r="B52" s="559" t="str">
        <f>B14</f>
        <v>Sonstige Kosten</v>
      </c>
      <c r="C52" s="560"/>
      <c r="D52" s="562">
        <f>Rentabilitätsvorschau!$F$27/12</f>
        <v>2916.6666666666665</v>
      </c>
      <c r="E52" s="813"/>
      <c r="F52" s="562">
        <f>Rentabilitätsvorschau!$F$27/12</f>
        <v>2916.6666666666665</v>
      </c>
      <c r="G52" s="813"/>
      <c r="H52" s="562">
        <f>Rentabilitätsvorschau!$F$27/12</f>
        <v>2916.6666666666665</v>
      </c>
      <c r="I52" s="813"/>
      <c r="J52" s="562">
        <f>Rentabilitätsvorschau!$F$27/12</f>
        <v>2916.6666666666665</v>
      </c>
      <c r="K52" s="813"/>
      <c r="L52" s="562">
        <f>Rentabilitätsvorschau!$F$27/12</f>
        <v>2916.6666666666665</v>
      </c>
      <c r="M52" s="813"/>
      <c r="N52" s="562">
        <f>Rentabilitätsvorschau!$F$27/12</f>
        <v>2916.6666666666665</v>
      </c>
      <c r="O52" s="813"/>
      <c r="P52" s="805"/>
      <c r="Q52" s="805"/>
      <c r="R52" s="805"/>
      <c r="S52" s="805"/>
      <c r="T52" s="806"/>
      <c r="U52" s="806"/>
      <c r="V52" s="806"/>
      <c r="W52" s="806"/>
      <c r="X52" s="806"/>
      <c r="Y52" s="806"/>
      <c r="Z52" s="806"/>
      <c r="AA52" s="806"/>
      <c r="AB52" s="806"/>
      <c r="AC52" s="806"/>
      <c r="AD52" s="806"/>
      <c r="AE52" s="806"/>
      <c r="AF52" s="806"/>
    </row>
    <row r="53" spans="1:32" ht="15.75" x14ac:dyDescent="0.25">
      <c r="A53" s="516"/>
      <c r="B53" s="563" t="s">
        <v>259</v>
      </c>
      <c r="C53" s="564"/>
      <c r="D53" s="565">
        <f t="shared" ref="D53:O53" si="8">SUM(D46:D52)</f>
        <v>24113.206666666669</v>
      </c>
      <c r="E53" s="566">
        <f t="shared" si="8"/>
        <v>0</v>
      </c>
      <c r="F53" s="565">
        <f t="shared" si="8"/>
        <v>18144.166666666664</v>
      </c>
      <c r="G53" s="566">
        <f t="shared" si="8"/>
        <v>0</v>
      </c>
      <c r="H53" s="565">
        <f t="shared" si="8"/>
        <v>21128.686666666665</v>
      </c>
      <c r="I53" s="566">
        <f t="shared" si="8"/>
        <v>0</v>
      </c>
      <c r="J53" s="565">
        <f t="shared" si="8"/>
        <v>21128.686666666665</v>
      </c>
      <c r="K53" s="566">
        <f t="shared" si="8"/>
        <v>0</v>
      </c>
      <c r="L53" s="565">
        <f t="shared" si="8"/>
        <v>22123.526666666665</v>
      </c>
      <c r="M53" s="566">
        <f t="shared" si="8"/>
        <v>0</v>
      </c>
      <c r="N53" s="565">
        <f t="shared" si="8"/>
        <v>23118.366666666665</v>
      </c>
      <c r="O53" s="566">
        <f t="shared" si="8"/>
        <v>0</v>
      </c>
      <c r="P53" s="805"/>
      <c r="Q53" s="805"/>
      <c r="R53" s="805"/>
      <c r="S53" s="805"/>
      <c r="T53" s="806"/>
      <c r="U53" s="806"/>
      <c r="V53" s="806"/>
      <c r="W53" s="806"/>
      <c r="X53" s="806"/>
      <c r="Y53" s="806"/>
      <c r="Z53" s="806"/>
      <c r="AA53" s="806"/>
      <c r="AB53" s="806"/>
      <c r="AC53" s="806"/>
      <c r="AD53" s="806"/>
      <c r="AE53" s="806"/>
      <c r="AF53" s="806"/>
    </row>
    <row r="54" spans="1:32" ht="15.75" x14ac:dyDescent="0.2">
      <c r="A54" s="506" t="s">
        <v>300</v>
      </c>
      <c r="B54" s="507" t="s">
        <v>301</v>
      </c>
      <c r="C54" s="567"/>
      <c r="D54" s="568"/>
      <c r="E54" s="569"/>
      <c r="F54" s="570"/>
      <c r="G54" s="569"/>
      <c r="H54" s="570"/>
      <c r="I54" s="569"/>
      <c r="J54" s="570"/>
      <c r="K54" s="569"/>
      <c r="L54" s="570"/>
      <c r="M54" s="569"/>
      <c r="N54" s="570"/>
      <c r="O54" s="571"/>
      <c r="P54" s="805"/>
      <c r="Q54" s="805"/>
      <c r="R54" s="805"/>
      <c r="S54" s="805"/>
      <c r="T54" s="806"/>
      <c r="U54" s="806"/>
      <c r="V54" s="806"/>
      <c r="W54" s="806"/>
      <c r="X54" s="806"/>
      <c r="Y54" s="806"/>
      <c r="Z54" s="806"/>
      <c r="AA54" s="806"/>
      <c r="AB54" s="806"/>
      <c r="AC54" s="806"/>
      <c r="AD54" s="806"/>
      <c r="AE54" s="806"/>
      <c r="AF54" s="806"/>
    </row>
    <row r="55" spans="1:32" ht="15" x14ac:dyDescent="0.2">
      <c r="A55" s="513"/>
      <c r="B55" s="559" t="str">
        <f>B17</f>
        <v>Geldeingang Handwerk</v>
      </c>
      <c r="C55" s="572"/>
      <c r="D55" s="524">
        <f>R19*1.19</f>
        <v>26180</v>
      </c>
      <c r="E55" s="524"/>
      <c r="F55" s="524">
        <f t="shared" ref="F55:N55" si="9">T19*1.19</f>
        <v>15708</v>
      </c>
      <c r="G55" s="573"/>
      <c r="H55" s="573">
        <f t="shared" si="9"/>
        <v>15708</v>
      </c>
      <c r="I55" s="573"/>
      <c r="J55" s="573">
        <f t="shared" si="9"/>
        <v>20944</v>
      </c>
      <c r="K55" s="573"/>
      <c r="L55" s="573">
        <f t="shared" si="9"/>
        <v>26180</v>
      </c>
      <c r="M55" s="524"/>
      <c r="N55" s="573">
        <f t="shared" si="9"/>
        <v>20944</v>
      </c>
      <c r="O55" s="804"/>
      <c r="P55" s="805"/>
      <c r="Q55" s="805"/>
      <c r="R55" s="805"/>
      <c r="S55" s="805"/>
      <c r="T55" s="806"/>
      <c r="U55" s="806"/>
      <c r="V55" s="806"/>
      <c r="W55" s="806"/>
      <c r="X55" s="806"/>
      <c r="Y55" s="806"/>
      <c r="Z55" s="806"/>
      <c r="AA55" s="806"/>
      <c r="AB55" s="806"/>
      <c r="AC55" s="806"/>
      <c r="AD55" s="806"/>
      <c r="AE55" s="806"/>
      <c r="AF55" s="806"/>
    </row>
    <row r="56" spans="1:32" ht="15" x14ac:dyDescent="0.2">
      <c r="A56" s="513"/>
      <c r="B56" s="559" t="str">
        <f>B18</f>
        <v>Geldeingang Handel</v>
      </c>
      <c r="C56" s="574"/>
      <c r="D56" s="435">
        <f>R20</f>
        <v>0</v>
      </c>
      <c r="E56" s="797"/>
      <c r="F56" s="435">
        <f>T20</f>
        <v>0</v>
      </c>
      <c r="G56" s="795"/>
      <c r="H56" s="452">
        <f>V20</f>
        <v>0</v>
      </c>
      <c r="I56" s="795"/>
      <c r="J56" s="452">
        <f>X20</f>
        <v>0</v>
      </c>
      <c r="K56" s="795"/>
      <c r="L56" s="452">
        <f>Z20</f>
        <v>0</v>
      </c>
      <c r="M56" s="797"/>
      <c r="N56" s="452">
        <f>AB20</f>
        <v>0</v>
      </c>
      <c r="O56" s="795"/>
      <c r="P56" s="805"/>
      <c r="Q56" s="805"/>
      <c r="R56" s="805"/>
      <c r="S56" s="805"/>
      <c r="T56" s="806"/>
      <c r="U56" s="806"/>
      <c r="V56" s="806"/>
      <c r="W56" s="806"/>
      <c r="X56" s="806"/>
      <c r="Y56" s="806"/>
      <c r="Z56" s="806"/>
      <c r="AA56" s="806"/>
      <c r="AB56" s="806"/>
      <c r="AC56" s="806"/>
      <c r="AD56" s="806"/>
      <c r="AE56" s="806"/>
      <c r="AF56" s="806"/>
    </row>
    <row r="57" spans="1:32" ht="15" x14ac:dyDescent="0.2">
      <c r="A57" s="513"/>
      <c r="B57" s="559" t="str">
        <f>B19</f>
        <v>Geldeingang</v>
      </c>
      <c r="C57" s="574"/>
      <c r="D57" s="562"/>
      <c r="E57" s="814"/>
      <c r="F57" s="562"/>
      <c r="G57" s="815"/>
      <c r="H57" s="575"/>
      <c r="I57" s="815"/>
      <c r="J57" s="575"/>
      <c r="K57" s="815"/>
      <c r="L57" s="575"/>
      <c r="M57" s="814"/>
      <c r="N57" s="575"/>
      <c r="O57" s="815"/>
      <c r="P57" s="805"/>
      <c r="Q57" s="805"/>
      <c r="R57" s="805"/>
      <c r="S57" s="805"/>
      <c r="T57" s="806"/>
      <c r="U57" s="806"/>
      <c r="V57" s="806"/>
      <c r="W57" s="806"/>
      <c r="X57" s="806"/>
      <c r="Y57" s="806"/>
      <c r="Z57" s="806"/>
      <c r="AA57" s="806"/>
      <c r="AB57" s="806"/>
      <c r="AC57" s="806"/>
      <c r="AD57" s="806"/>
      <c r="AE57" s="806"/>
      <c r="AF57" s="806"/>
    </row>
    <row r="58" spans="1:32" ht="15" x14ac:dyDescent="0.2">
      <c r="A58" s="513"/>
      <c r="B58" s="559" t="s">
        <v>302</v>
      </c>
      <c r="C58" s="574"/>
      <c r="D58" s="562">
        <f>(N8+N9)/100*19</f>
        <v>1450.8083333333334</v>
      </c>
      <c r="E58" s="814"/>
      <c r="F58" s="562">
        <f>(D46+D47+D52)/100*19</f>
        <v>2004.9750000000001</v>
      </c>
      <c r="G58" s="575"/>
      <c r="H58" s="575">
        <f t="shared" ref="H58:N58" si="10">(F46+F47+F52)/100*19</f>
        <v>2004.9750000000001</v>
      </c>
      <c r="I58" s="575"/>
      <c r="J58" s="575">
        <f t="shared" si="10"/>
        <v>2004.9750000000001</v>
      </c>
      <c r="K58" s="575"/>
      <c r="L58" s="575">
        <f t="shared" si="10"/>
        <v>2004.9750000000001</v>
      </c>
      <c r="M58" s="562"/>
      <c r="N58" s="575">
        <f t="shared" si="10"/>
        <v>2004.9750000000001</v>
      </c>
      <c r="O58" s="576"/>
      <c r="P58" s="805"/>
      <c r="Q58" s="805"/>
      <c r="R58" s="805"/>
      <c r="S58" s="805"/>
      <c r="T58" s="806"/>
      <c r="U58" s="806"/>
      <c r="V58" s="806"/>
      <c r="W58" s="806"/>
      <c r="X58" s="806"/>
      <c r="Y58" s="806"/>
      <c r="Z58" s="806"/>
      <c r="AA58" s="806"/>
      <c r="AB58" s="806"/>
      <c r="AC58" s="806"/>
      <c r="AD58" s="806"/>
      <c r="AE58" s="806"/>
      <c r="AF58" s="806"/>
    </row>
    <row r="59" spans="1:32" ht="15" x14ac:dyDescent="0.2">
      <c r="A59" s="513"/>
      <c r="B59" s="559" t="str">
        <f>B21</f>
        <v>Sonstige</v>
      </c>
      <c r="C59" s="574"/>
      <c r="D59" s="562"/>
      <c r="E59" s="814"/>
      <c r="F59" s="562"/>
      <c r="G59" s="815"/>
      <c r="H59" s="575"/>
      <c r="I59" s="815"/>
      <c r="J59" s="575"/>
      <c r="K59" s="815"/>
      <c r="L59" s="575"/>
      <c r="M59" s="814"/>
      <c r="N59" s="575"/>
      <c r="O59" s="815"/>
      <c r="P59" s="805"/>
      <c r="Q59" s="805"/>
      <c r="R59" s="805"/>
      <c r="S59" s="805"/>
      <c r="T59" s="806"/>
      <c r="U59" s="806"/>
      <c r="V59" s="806"/>
      <c r="W59" s="806"/>
      <c r="X59" s="806"/>
      <c r="Y59" s="806"/>
      <c r="Z59" s="806"/>
      <c r="AA59" s="806"/>
      <c r="AB59" s="806"/>
      <c r="AC59" s="806"/>
      <c r="AD59" s="806"/>
      <c r="AE59" s="806"/>
      <c r="AF59" s="806"/>
    </row>
    <row r="60" spans="1:32" ht="15.75" x14ac:dyDescent="0.25">
      <c r="A60" s="527"/>
      <c r="B60" s="577" t="s">
        <v>259</v>
      </c>
      <c r="C60" s="578"/>
      <c r="D60" s="579">
        <f t="shared" ref="D60:O60" si="11">SUM(D55:D59)</f>
        <v>27630.808333333334</v>
      </c>
      <c r="E60" s="580">
        <f t="shared" si="11"/>
        <v>0</v>
      </c>
      <c r="F60" s="579">
        <f t="shared" si="11"/>
        <v>17712.974999999999</v>
      </c>
      <c r="G60" s="581">
        <f t="shared" si="11"/>
        <v>0</v>
      </c>
      <c r="H60" s="582">
        <f t="shared" si="11"/>
        <v>17712.974999999999</v>
      </c>
      <c r="I60" s="581">
        <f t="shared" si="11"/>
        <v>0</v>
      </c>
      <c r="J60" s="582">
        <f t="shared" si="11"/>
        <v>22948.974999999999</v>
      </c>
      <c r="K60" s="581">
        <f t="shared" si="11"/>
        <v>0</v>
      </c>
      <c r="L60" s="582">
        <f t="shared" si="11"/>
        <v>28184.974999999999</v>
      </c>
      <c r="M60" s="580">
        <f t="shared" si="11"/>
        <v>0</v>
      </c>
      <c r="N60" s="582">
        <f t="shared" si="11"/>
        <v>22948.974999999999</v>
      </c>
      <c r="O60" s="581">
        <f t="shared" si="11"/>
        <v>0</v>
      </c>
      <c r="P60" s="805"/>
      <c r="Q60" s="805"/>
      <c r="R60" s="805"/>
      <c r="S60" s="805"/>
      <c r="T60" s="806"/>
      <c r="U60" s="806"/>
      <c r="V60" s="806"/>
      <c r="W60" s="806"/>
      <c r="X60" s="806"/>
      <c r="Y60" s="806"/>
      <c r="Z60" s="806"/>
      <c r="AA60" s="806"/>
      <c r="AB60" s="806"/>
      <c r="AC60" s="806"/>
      <c r="AD60" s="806"/>
      <c r="AE60" s="806"/>
      <c r="AF60" s="806"/>
    </row>
    <row r="61" spans="1:32" ht="15.75" x14ac:dyDescent="0.2">
      <c r="A61" s="532"/>
      <c r="B61" s="583" t="s">
        <v>304</v>
      </c>
      <c r="C61" s="584"/>
      <c r="D61" s="585">
        <f t="shared" ref="D61:O61" si="12">D60-D53</f>
        <v>3517.6016666666656</v>
      </c>
      <c r="E61" s="586">
        <f t="shared" si="12"/>
        <v>0</v>
      </c>
      <c r="F61" s="585">
        <f t="shared" si="12"/>
        <v>-431.1916666666657</v>
      </c>
      <c r="G61" s="587">
        <f t="shared" si="12"/>
        <v>0</v>
      </c>
      <c r="H61" s="588">
        <f t="shared" si="12"/>
        <v>-3415.7116666666661</v>
      </c>
      <c r="I61" s="587">
        <f t="shared" si="12"/>
        <v>0</v>
      </c>
      <c r="J61" s="588">
        <f t="shared" si="12"/>
        <v>1820.2883333333339</v>
      </c>
      <c r="K61" s="587">
        <f t="shared" si="12"/>
        <v>0</v>
      </c>
      <c r="L61" s="588">
        <f t="shared" si="12"/>
        <v>6061.4483333333337</v>
      </c>
      <c r="M61" s="586">
        <f t="shared" si="12"/>
        <v>0</v>
      </c>
      <c r="N61" s="588">
        <f>N60-N53</f>
        <v>-169.39166666666642</v>
      </c>
      <c r="O61" s="587">
        <f t="shared" si="12"/>
        <v>0</v>
      </c>
      <c r="P61" s="805"/>
      <c r="Q61" s="805"/>
      <c r="R61" s="805"/>
      <c r="S61" s="805"/>
      <c r="T61" s="806"/>
      <c r="U61" s="806"/>
      <c r="V61" s="806"/>
      <c r="W61" s="806"/>
      <c r="X61" s="806"/>
      <c r="Y61" s="806"/>
      <c r="Z61" s="806"/>
      <c r="AA61" s="806"/>
      <c r="AB61" s="806"/>
      <c r="AC61" s="806"/>
      <c r="AD61" s="806"/>
      <c r="AE61" s="806"/>
      <c r="AF61" s="806"/>
    </row>
    <row r="62" spans="1:32" ht="15.75" x14ac:dyDescent="0.2">
      <c r="A62" s="538" t="s">
        <v>305</v>
      </c>
      <c r="B62" s="589" t="s">
        <v>306</v>
      </c>
      <c r="C62" s="590"/>
      <c r="D62" s="591"/>
      <c r="E62" s="592"/>
      <c r="F62" s="511"/>
      <c r="G62" s="592"/>
      <c r="H62" s="511"/>
      <c r="I62" s="592"/>
      <c r="J62" s="511"/>
      <c r="K62" s="592"/>
      <c r="L62" s="511"/>
      <c r="M62" s="592"/>
      <c r="N62" s="511"/>
      <c r="O62" s="593"/>
      <c r="P62" s="805"/>
      <c r="Q62" s="805"/>
      <c r="R62" s="805"/>
      <c r="S62" s="805"/>
      <c r="T62" s="806"/>
      <c r="U62" s="806"/>
      <c r="V62" s="806"/>
      <c r="W62" s="806"/>
      <c r="X62" s="806"/>
      <c r="Y62" s="806"/>
      <c r="Z62" s="806"/>
      <c r="AA62" s="806"/>
      <c r="AB62" s="806"/>
      <c r="AC62" s="806"/>
      <c r="AD62" s="806"/>
      <c r="AE62" s="806"/>
      <c r="AF62" s="806"/>
    </row>
    <row r="63" spans="1:32" ht="15.75" x14ac:dyDescent="0.2">
      <c r="A63" s="539"/>
      <c r="B63" s="594" t="s">
        <v>307</v>
      </c>
      <c r="C63" s="595"/>
      <c r="D63" s="816"/>
      <c r="E63" s="817"/>
      <c r="F63" s="818"/>
      <c r="G63" s="819"/>
      <c r="H63" s="816"/>
      <c r="I63" s="817"/>
      <c r="J63" s="816"/>
      <c r="K63" s="817"/>
      <c r="L63" s="816"/>
      <c r="M63" s="817"/>
      <c r="N63" s="816"/>
      <c r="O63" s="817"/>
      <c r="P63" s="806"/>
      <c r="Q63" s="806"/>
      <c r="R63" s="806"/>
      <c r="S63" s="806"/>
      <c r="T63" s="806"/>
      <c r="U63" s="806"/>
      <c r="V63" s="806"/>
      <c r="W63" s="806"/>
      <c r="X63" s="806"/>
      <c r="Y63" s="806"/>
      <c r="Z63" s="806"/>
      <c r="AA63" s="806"/>
      <c r="AB63" s="806"/>
      <c r="AC63" s="806"/>
      <c r="AD63" s="806"/>
      <c r="AE63" s="806"/>
      <c r="AF63" s="806"/>
    </row>
    <row r="64" spans="1:32" ht="15.75" x14ac:dyDescent="0.2">
      <c r="A64" s="540"/>
      <c r="B64" s="596" t="s">
        <v>308</v>
      </c>
      <c r="C64" s="597"/>
      <c r="D64" s="820"/>
      <c r="E64" s="821"/>
      <c r="F64" s="822"/>
      <c r="G64" s="823"/>
      <c r="H64" s="820"/>
      <c r="I64" s="821"/>
      <c r="J64" s="820"/>
      <c r="K64" s="821"/>
      <c r="L64" s="820"/>
      <c r="M64" s="821"/>
      <c r="N64" s="820"/>
      <c r="O64" s="821"/>
      <c r="P64" s="806"/>
      <c r="Q64" s="806"/>
      <c r="R64" s="806"/>
      <c r="S64" s="806"/>
      <c r="T64" s="806"/>
      <c r="U64" s="806"/>
      <c r="V64" s="806"/>
      <c r="W64" s="806"/>
      <c r="X64" s="806"/>
      <c r="Y64" s="806"/>
      <c r="Z64" s="806"/>
      <c r="AA64" s="806"/>
      <c r="AB64" s="806"/>
      <c r="AC64" s="806"/>
      <c r="AD64" s="806"/>
      <c r="AE64" s="806"/>
      <c r="AF64" s="806"/>
    </row>
    <row r="65" spans="1:32" ht="15.75" x14ac:dyDescent="0.2">
      <c r="A65" s="541"/>
      <c r="B65" s="598" t="s">
        <v>309</v>
      </c>
      <c r="C65" s="599"/>
      <c r="D65" s="820"/>
      <c r="E65" s="821"/>
      <c r="F65" s="822"/>
      <c r="G65" s="823"/>
      <c r="H65" s="820"/>
      <c r="I65" s="821"/>
      <c r="J65" s="820"/>
      <c r="K65" s="821"/>
      <c r="L65" s="820"/>
      <c r="M65" s="821"/>
      <c r="N65" s="820"/>
      <c r="O65" s="821"/>
      <c r="P65" s="806"/>
      <c r="Q65" s="806"/>
      <c r="R65" s="806"/>
      <c r="S65" s="806"/>
      <c r="T65" s="806"/>
      <c r="U65" s="806"/>
      <c r="V65" s="806"/>
      <c r="W65" s="806"/>
      <c r="X65" s="806"/>
      <c r="Y65" s="806"/>
      <c r="Z65" s="806"/>
      <c r="AA65" s="806"/>
      <c r="AB65" s="806"/>
      <c r="AC65" s="806"/>
      <c r="AD65" s="806"/>
      <c r="AE65" s="806"/>
      <c r="AF65" s="806"/>
    </row>
    <row r="66" spans="1:32" ht="15.75" x14ac:dyDescent="0.2">
      <c r="A66" s="540"/>
      <c r="B66" s="596" t="s">
        <v>310</v>
      </c>
      <c r="C66" s="597"/>
      <c r="D66" s="820"/>
      <c r="E66" s="821"/>
      <c r="F66" s="822"/>
      <c r="G66" s="823"/>
      <c r="H66" s="820"/>
      <c r="I66" s="821"/>
      <c r="J66" s="820"/>
      <c r="K66" s="821"/>
      <c r="L66" s="820"/>
      <c r="M66" s="821"/>
      <c r="N66" s="820"/>
      <c r="O66" s="821"/>
      <c r="P66" s="806"/>
      <c r="Q66" s="806"/>
      <c r="R66" s="806"/>
      <c r="S66" s="806"/>
      <c r="T66" s="806"/>
      <c r="U66" s="806"/>
      <c r="V66" s="806"/>
      <c r="W66" s="806"/>
      <c r="X66" s="806"/>
      <c r="Y66" s="806"/>
      <c r="Z66" s="806"/>
      <c r="AA66" s="806"/>
      <c r="AB66" s="806"/>
      <c r="AC66" s="806"/>
      <c r="AD66" s="806"/>
      <c r="AE66" s="806"/>
      <c r="AF66" s="806"/>
    </row>
    <row r="67" spans="1:32" ht="15.75" x14ac:dyDescent="0.2">
      <c r="A67" s="542" t="s">
        <v>311</v>
      </c>
      <c r="B67" s="510" t="s">
        <v>312</v>
      </c>
      <c r="C67" s="600"/>
      <c r="D67" s="591"/>
      <c r="E67" s="592"/>
      <c r="F67" s="511"/>
      <c r="G67" s="592"/>
      <c r="H67" s="511"/>
      <c r="I67" s="592"/>
      <c r="J67" s="511"/>
      <c r="K67" s="592"/>
      <c r="L67" s="511"/>
      <c r="M67" s="592"/>
      <c r="N67" s="511"/>
      <c r="O67" s="593"/>
      <c r="P67" s="806"/>
      <c r="Q67" s="806"/>
      <c r="R67" s="806"/>
      <c r="S67" s="806"/>
      <c r="T67" s="806"/>
      <c r="U67" s="806"/>
      <c r="V67" s="806"/>
      <c r="W67" s="806"/>
      <c r="X67" s="806"/>
      <c r="Y67" s="806"/>
      <c r="Z67" s="806"/>
      <c r="AA67" s="806"/>
      <c r="AB67" s="806"/>
      <c r="AC67" s="806"/>
      <c r="AD67" s="806"/>
      <c r="AE67" s="806"/>
      <c r="AF67" s="806"/>
    </row>
    <row r="68" spans="1:32" ht="15.75" x14ac:dyDescent="0.2">
      <c r="A68" s="539"/>
      <c r="B68" s="594" t="s">
        <v>47</v>
      </c>
      <c r="C68" s="595"/>
      <c r="D68" s="816"/>
      <c r="E68" s="817"/>
      <c r="F68" s="818"/>
      <c r="G68" s="819"/>
      <c r="H68" s="816"/>
      <c r="I68" s="817"/>
      <c r="J68" s="816"/>
      <c r="K68" s="817"/>
      <c r="L68" s="816"/>
      <c r="M68" s="817"/>
      <c r="N68" s="816"/>
      <c r="O68" s="817"/>
      <c r="P68" s="806"/>
      <c r="Q68" s="806"/>
      <c r="R68" s="806"/>
      <c r="S68" s="806"/>
      <c r="T68" s="806"/>
      <c r="U68" s="806"/>
      <c r="V68" s="806"/>
      <c r="W68" s="806"/>
      <c r="X68" s="806"/>
      <c r="Y68" s="806"/>
      <c r="Z68" s="806"/>
      <c r="AA68" s="806"/>
      <c r="AB68" s="806"/>
      <c r="AC68" s="806"/>
      <c r="AD68" s="806"/>
      <c r="AE68" s="806"/>
      <c r="AF68" s="806"/>
    </row>
    <row r="69" spans="1:32" ht="15.75" x14ac:dyDescent="0.2">
      <c r="A69" s="541"/>
      <c r="B69" s="598" t="s">
        <v>307</v>
      </c>
      <c r="C69" s="599"/>
      <c r="D69" s="820"/>
      <c r="E69" s="821"/>
      <c r="F69" s="822"/>
      <c r="G69" s="823"/>
      <c r="H69" s="820"/>
      <c r="I69" s="821"/>
      <c r="J69" s="820"/>
      <c r="K69" s="821"/>
      <c r="L69" s="820"/>
      <c r="M69" s="821"/>
      <c r="N69" s="820"/>
      <c r="O69" s="821"/>
      <c r="P69" s="806"/>
      <c r="Q69" s="806"/>
      <c r="R69" s="806"/>
      <c r="S69" s="806"/>
      <c r="T69" s="806"/>
      <c r="U69" s="806"/>
      <c r="V69" s="806"/>
      <c r="W69" s="806"/>
      <c r="X69" s="806"/>
      <c r="Y69" s="806"/>
      <c r="Z69" s="806"/>
      <c r="AA69" s="806"/>
      <c r="AB69" s="806"/>
      <c r="AC69" s="806"/>
      <c r="AD69" s="806"/>
      <c r="AE69" s="806"/>
      <c r="AF69" s="806"/>
    </row>
    <row r="70" spans="1:32" ht="15.75" x14ac:dyDescent="0.2">
      <c r="A70" s="540"/>
      <c r="B70" s="596" t="s">
        <v>313</v>
      </c>
      <c r="C70" s="597"/>
      <c r="D70" s="820"/>
      <c r="E70" s="821"/>
      <c r="F70" s="822"/>
      <c r="G70" s="823"/>
      <c r="H70" s="820"/>
      <c r="I70" s="821"/>
      <c r="J70" s="820"/>
      <c r="K70" s="821"/>
      <c r="L70" s="820"/>
      <c r="M70" s="821"/>
      <c r="N70" s="820"/>
      <c r="O70" s="821"/>
      <c r="P70" s="806"/>
      <c r="Q70" s="806"/>
      <c r="R70" s="806"/>
      <c r="S70" s="806"/>
      <c r="T70" s="806"/>
      <c r="U70" s="806"/>
      <c r="V70" s="806"/>
      <c r="W70" s="806"/>
      <c r="X70" s="806"/>
      <c r="Y70" s="806"/>
      <c r="Z70" s="806"/>
      <c r="AA70" s="806"/>
      <c r="AB70" s="806"/>
      <c r="AC70" s="806"/>
      <c r="AD70" s="806"/>
      <c r="AE70" s="806"/>
      <c r="AF70" s="806"/>
    </row>
    <row r="71" spans="1:32" ht="15.75" x14ac:dyDescent="0.2">
      <c r="A71" s="542" t="s">
        <v>314</v>
      </c>
      <c r="B71" s="510" t="s">
        <v>315</v>
      </c>
      <c r="C71" s="600"/>
      <c r="D71" s="591"/>
      <c r="E71" s="510"/>
      <c r="F71" s="511"/>
      <c r="G71" s="510"/>
      <c r="H71" s="511"/>
      <c r="I71" s="510"/>
      <c r="J71" s="511"/>
      <c r="K71" s="510"/>
      <c r="L71" s="511"/>
      <c r="M71" s="510"/>
      <c r="N71" s="511"/>
      <c r="O71" s="512"/>
      <c r="P71" s="806"/>
      <c r="Q71" s="806"/>
      <c r="R71" s="806"/>
      <c r="S71" s="806"/>
      <c r="T71" s="806"/>
      <c r="U71" s="806"/>
      <c r="V71" s="806"/>
      <c r="W71" s="806"/>
      <c r="X71" s="806"/>
      <c r="Y71" s="806"/>
      <c r="Z71" s="806"/>
      <c r="AA71" s="806"/>
      <c r="AB71" s="806"/>
      <c r="AC71" s="806"/>
      <c r="AD71" s="806"/>
      <c r="AE71" s="806"/>
      <c r="AF71" s="806"/>
    </row>
    <row r="72" spans="1:32" ht="15" x14ac:dyDescent="0.2">
      <c r="A72" s="543"/>
      <c r="B72" s="594" t="s">
        <v>316</v>
      </c>
      <c r="C72" s="595"/>
      <c r="D72" s="601">
        <f t="shared" ref="D72:O72" si="13">ROUND(D61+SUM(D63:D66)-SUM(D68:D70),2)</f>
        <v>3517.6</v>
      </c>
      <c r="E72" s="602">
        <f t="shared" si="13"/>
        <v>0</v>
      </c>
      <c r="F72" s="601">
        <f t="shared" si="13"/>
        <v>-431.19</v>
      </c>
      <c r="G72" s="602">
        <f t="shared" si="13"/>
        <v>0</v>
      </c>
      <c r="H72" s="601">
        <f t="shared" si="13"/>
        <v>-3415.71</v>
      </c>
      <c r="I72" s="602">
        <f t="shared" si="13"/>
        <v>0</v>
      </c>
      <c r="J72" s="601">
        <f t="shared" si="13"/>
        <v>1820.29</v>
      </c>
      <c r="K72" s="602">
        <f t="shared" si="13"/>
        <v>0</v>
      </c>
      <c r="L72" s="601">
        <f t="shared" si="13"/>
        <v>6061.45</v>
      </c>
      <c r="M72" s="602">
        <f t="shared" si="13"/>
        <v>0</v>
      </c>
      <c r="N72" s="601">
        <f t="shared" si="13"/>
        <v>-169.39</v>
      </c>
      <c r="O72" s="603">
        <f t="shared" si="13"/>
        <v>0</v>
      </c>
      <c r="P72" s="806"/>
      <c r="Q72" s="806"/>
      <c r="R72" s="806"/>
      <c r="S72" s="806"/>
      <c r="T72" s="806"/>
      <c r="U72" s="806"/>
      <c r="V72" s="806"/>
      <c r="W72" s="806"/>
      <c r="X72" s="806"/>
      <c r="Y72" s="806"/>
      <c r="Z72" s="806"/>
      <c r="AA72" s="806"/>
      <c r="AB72" s="806"/>
      <c r="AC72" s="806"/>
      <c r="AD72" s="806"/>
      <c r="AE72" s="806"/>
      <c r="AF72" s="806"/>
    </row>
    <row r="73" spans="1:32" ht="15" x14ac:dyDescent="0.2">
      <c r="A73" s="544"/>
      <c r="B73" s="596" t="s">
        <v>321</v>
      </c>
      <c r="C73" s="597"/>
      <c r="D73" s="604">
        <f>N35+D69-D63</f>
        <v>0</v>
      </c>
      <c r="E73" s="605">
        <f>O35+E69-E63</f>
        <v>0</v>
      </c>
      <c r="F73" s="604">
        <f t="shared" ref="F73:O73" si="14">D73+F69-F63</f>
        <v>0</v>
      </c>
      <c r="G73" s="605">
        <f t="shared" si="14"/>
        <v>0</v>
      </c>
      <c r="H73" s="604">
        <f t="shared" si="14"/>
        <v>0</v>
      </c>
      <c r="I73" s="605">
        <f t="shared" si="14"/>
        <v>0</v>
      </c>
      <c r="J73" s="604">
        <f t="shared" si="14"/>
        <v>0</v>
      </c>
      <c r="K73" s="605">
        <f t="shared" si="14"/>
        <v>0</v>
      </c>
      <c r="L73" s="604">
        <f t="shared" si="14"/>
        <v>0</v>
      </c>
      <c r="M73" s="605">
        <f t="shared" si="14"/>
        <v>0</v>
      </c>
      <c r="N73" s="604">
        <f t="shared" si="14"/>
        <v>0</v>
      </c>
      <c r="O73" s="605">
        <f t="shared" si="14"/>
        <v>0</v>
      </c>
      <c r="P73" s="806"/>
      <c r="Q73" s="806"/>
      <c r="R73" s="806"/>
      <c r="S73" s="806"/>
      <c r="T73" s="806"/>
      <c r="U73" s="806"/>
      <c r="V73" s="806"/>
      <c r="W73" s="806"/>
      <c r="X73" s="806"/>
      <c r="Y73" s="806"/>
      <c r="Z73" s="806"/>
      <c r="AA73" s="806"/>
      <c r="AB73" s="806"/>
      <c r="AC73" s="806"/>
      <c r="AD73" s="806"/>
      <c r="AE73" s="806"/>
      <c r="AF73" s="806"/>
    </row>
    <row r="74" spans="1:32" ht="15.75" x14ac:dyDescent="0.2">
      <c r="A74" s="540"/>
      <c r="B74" s="596" t="s">
        <v>322</v>
      </c>
      <c r="C74" s="597"/>
      <c r="D74" s="604">
        <f>SUM(D70:D70)</f>
        <v>0</v>
      </c>
      <c r="E74" s="605">
        <f>SUM(E70:E70)</f>
        <v>0</v>
      </c>
      <c r="F74" s="604">
        <f t="shared" ref="F74:O74" si="15">SUM(F70:F70)-F64+D74</f>
        <v>0</v>
      </c>
      <c r="G74" s="605">
        <f t="shared" si="15"/>
        <v>0</v>
      </c>
      <c r="H74" s="604">
        <f t="shared" si="15"/>
        <v>0</v>
      </c>
      <c r="I74" s="605">
        <f t="shared" si="15"/>
        <v>0</v>
      </c>
      <c r="J74" s="604">
        <f t="shared" si="15"/>
        <v>0</v>
      </c>
      <c r="K74" s="605">
        <f t="shared" si="15"/>
        <v>0</v>
      </c>
      <c r="L74" s="604">
        <f t="shared" si="15"/>
        <v>0</v>
      </c>
      <c r="M74" s="605">
        <f t="shared" si="15"/>
        <v>0</v>
      </c>
      <c r="N74" s="604">
        <f t="shared" si="15"/>
        <v>0</v>
      </c>
      <c r="O74" s="605">
        <f t="shared" si="15"/>
        <v>0</v>
      </c>
      <c r="P74" s="806"/>
      <c r="Q74" s="806"/>
      <c r="R74" s="806"/>
      <c r="S74" s="806"/>
      <c r="T74" s="806"/>
      <c r="U74" s="806"/>
      <c r="V74" s="806"/>
      <c r="W74" s="806"/>
      <c r="X74" s="806"/>
      <c r="Y74" s="806"/>
      <c r="Z74" s="806"/>
      <c r="AA74" s="806"/>
      <c r="AB74" s="806"/>
      <c r="AC74" s="806"/>
      <c r="AD74" s="806"/>
      <c r="AE74" s="806"/>
      <c r="AF74" s="806"/>
    </row>
    <row r="75" spans="1:32" ht="15.75" x14ac:dyDescent="0.2">
      <c r="A75" s="490"/>
      <c r="B75" s="491" t="s">
        <v>323</v>
      </c>
      <c r="C75" s="492"/>
      <c r="D75" s="493">
        <f>D65+D66-D68+N37</f>
        <v>0</v>
      </c>
      <c r="E75" s="494">
        <f>E65+E66</f>
        <v>0</v>
      </c>
      <c r="F75" s="493">
        <f>F65+F66+D75-F68</f>
        <v>0</v>
      </c>
      <c r="G75" s="494">
        <f>G65+G66+E75-G68</f>
        <v>0</v>
      </c>
      <c r="H75" s="493">
        <f t="shared" ref="H75:O75" si="16">F75+H65+H66-H68</f>
        <v>0</v>
      </c>
      <c r="I75" s="494">
        <f t="shared" si="16"/>
        <v>0</v>
      </c>
      <c r="J75" s="493">
        <f t="shared" si="16"/>
        <v>0</v>
      </c>
      <c r="K75" s="494">
        <f t="shared" si="16"/>
        <v>0</v>
      </c>
      <c r="L75" s="493">
        <f t="shared" si="16"/>
        <v>0</v>
      </c>
      <c r="M75" s="494">
        <f t="shared" si="16"/>
        <v>0</v>
      </c>
      <c r="N75" s="493">
        <f t="shared" si="16"/>
        <v>0</v>
      </c>
      <c r="O75" s="494">
        <f t="shared" si="16"/>
        <v>0</v>
      </c>
      <c r="P75" s="806"/>
      <c r="Q75" s="806"/>
      <c r="R75" s="806"/>
      <c r="S75" s="806"/>
      <c r="T75" s="806"/>
      <c r="U75" s="806"/>
      <c r="V75" s="806"/>
      <c r="W75" s="806"/>
      <c r="X75" s="806"/>
      <c r="Y75" s="806"/>
      <c r="Z75" s="806"/>
      <c r="AA75" s="806"/>
      <c r="AB75" s="806"/>
      <c r="AC75" s="806"/>
      <c r="AD75" s="806"/>
      <c r="AE75" s="806"/>
      <c r="AF75" s="806"/>
    </row>
  </sheetData>
  <sheetProtection selectLockedCells="1"/>
  <mergeCells count="24">
    <mergeCell ref="D5:E5"/>
    <mergeCell ref="F5:G5"/>
    <mergeCell ref="H5:I5"/>
    <mergeCell ref="J5:K5"/>
    <mergeCell ref="L5:M5"/>
    <mergeCell ref="N5:O5"/>
    <mergeCell ref="R5:S5"/>
    <mergeCell ref="T5:U5"/>
    <mergeCell ref="V5:W5"/>
    <mergeCell ref="X5:Y5"/>
    <mergeCell ref="Z5:AA5"/>
    <mergeCell ref="AB5:AC5"/>
    <mergeCell ref="R16:S16"/>
    <mergeCell ref="T16:U16"/>
    <mergeCell ref="V16:W16"/>
    <mergeCell ref="X16:Y16"/>
    <mergeCell ref="Z16:AA16"/>
    <mergeCell ref="AB16:AC16"/>
    <mergeCell ref="N43:O43"/>
    <mergeCell ref="D43:E43"/>
    <mergeCell ref="F43:G43"/>
    <mergeCell ref="H43:I43"/>
    <mergeCell ref="J43:K43"/>
    <mergeCell ref="L43:M43"/>
  </mergeCells>
  <pageMargins left="0.70866141732283472" right="0.70866141732283472" top="0.78740157480314965" bottom="0.78740157480314965" header="0.31496062992125984" footer="0.31496062992125984"/>
  <pageSetup paperSize="9" scale="83" orientation="landscape" r:id="rId1"/>
  <rowBreaks count="1" manualBreakCount="1">
    <brk id="38" max="14" man="1"/>
  </rowBreaks>
  <colBreaks count="1" manualBreakCount="1">
    <brk id="15"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S64"/>
  <sheetViews>
    <sheetView zoomScaleNormal="100" zoomScaleSheetLayoutView="124" workbookViewId="0">
      <selection sqref="A1:F2"/>
    </sheetView>
  </sheetViews>
  <sheetFormatPr baseColWidth="10" defaultRowHeight="14.25" x14ac:dyDescent="0.2"/>
  <cols>
    <col min="1" max="1" width="16.125" customWidth="1"/>
    <col min="2" max="2" width="12.25" customWidth="1"/>
    <col min="3" max="3" width="16.25" customWidth="1"/>
    <col min="4" max="4" width="8.125" customWidth="1"/>
    <col min="5" max="5" width="12.125" customWidth="1"/>
    <col min="6" max="6" width="27.625" customWidth="1"/>
    <col min="7" max="7" width="15.375" customWidth="1"/>
    <col min="8" max="8" width="28.25" customWidth="1"/>
  </cols>
  <sheetData>
    <row r="1" spans="1:19" ht="16.5" customHeight="1" x14ac:dyDescent="0.2">
      <c r="A1" s="977" t="s">
        <v>229</v>
      </c>
      <c r="B1" s="977"/>
      <c r="C1" s="977"/>
      <c r="D1" s="977"/>
      <c r="E1" s="977"/>
      <c r="F1" s="977"/>
      <c r="G1" s="622"/>
      <c r="H1" s="622"/>
      <c r="I1" s="68"/>
      <c r="J1" s="68"/>
      <c r="K1" s="68"/>
      <c r="L1" s="68"/>
      <c r="M1" s="68"/>
      <c r="N1" s="68"/>
      <c r="O1" s="68"/>
      <c r="P1" s="68"/>
      <c r="Q1" s="68"/>
      <c r="R1" s="68"/>
      <c r="S1" s="68"/>
    </row>
    <row r="2" spans="1:19" ht="16.5" customHeight="1" x14ac:dyDescent="0.2">
      <c r="A2" s="977"/>
      <c r="B2" s="977"/>
      <c r="C2" s="977"/>
      <c r="D2" s="977"/>
      <c r="E2" s="977"/>
      <c r="F2" s="977"/>
      <c r="G2" s="622"/>
      <c r="H2" s="622"/>
      <c r="I2" s="68"/>
      <c r="J2" s="68"/>
      <c r="K2" s="68"/>
      <c r="L2" s="68"/>
      <c r="M2" s="68"/>
      <c r="N2" s="68"/>
      <c r="O2" s="68"/>
      <c r="P2" s="68"/>
      <c r="Q2" s="68"/>
      <c r="R2" s="68"/>
      <c r="S2" s="68"/>
    </row>
    <row r="3" spans="1:19" x14ac:dyDescent="0.2">
      <c r="A3" s="3"/>
      <c r="B3" s="3"/>
      <c r="C3" s="3"/>
      <c r="D3" s="3"/>
      <c r="E3" s="3"/>
      <c r="F3" s="3"/>
      <c r="G3" s="3"/>
      <c r="H3" s="68"/>
      <c r="I3" s="68"/>
      <c r="J3" s="68"/>
      <c r="K3" s="68"/>
      <c r="L3" s="68"/>
      <c r="M3" s="68"/>
      <c r="N3" s="68"/>
      <c r="O3" s="68"/>
      <c r="P3" s="68"/>
      <c r="Q3" s="68"/>
      <c r="R3" s="68"/>
      <c r="S3" s="68"/>
    </row>
    <row r="4" spans="1:19" ht="16.5" x14ac:dyDescent="0.25">
      <c r="A4" s="3" t="str">
        <f>Adresse!D20</f>
        <v>Herrn</v>
      </c>
      <c r="B4" s="3"/>
      <c r="C4" s="3"/>
      <c r="D4" s="3"/>
      <c r="E4" s="3"/>
      <c r="F4" s="3"/>
      <c r="G4" s="624"/>
      <c r="H4" s="68"/>
      <c r="I4" s="68"/>
      <c r="J4" s="68"/>
      <c r="K4" s="68"/>
      <c r="L4" s="68"/>
      <c r="M4" s="68"/>
      <c r="N4" s="68"/>
      <c r="O4" s="68"/>
      <c r="P4" s="68"/>
      <c r="Q4" s="68"/>
      <c r="R4" s="68"/>
      <c r="S4" s="68"/>
    </row>
    <row r="5" spans="1:19" ht="16.5" x14ac:dyDescent="0.25">
      <c r="A5" s="3" t="str">
        <f>Adresse!D21</f>
        <v>Klaus Mustermann</v>
      </c>
      <c r="B5" s="3"/>
      <c r="C5" s="3"/>
      <c r="D5" s="3"/>
      <c r="E5" s="3"/>
      <c r="F5" s="3"/>
      <c r="G5" s="624"/>
      <c r="H5" s="68"/>
      <c r="I5" s="68"/>
      <c r="J5" s="68"/>
      <c r="K5" s="68"/>
      <c r="L5" s="68"/>
      <c r="M5" s="68"/>
      <c r="N5" s="68"/>
      <c r="O5" s="68"/>
      <c r="P5" s="68"/>
      <c r="Q5" s="68"/>
      <c r="R5" s="68"/>
      <c r="S5" s="68"/>
    </row>
    <row r="6" spans="1:19" ht="16.5" x14ac:dyDescent="0.25">
      <c r="A6" s="3" t="str">
        <f>Adresse!D22</f>
        <v>Elektrotechnikermeister</v>
      </c>
      <c r="B6" s="3"/>
      <c r="C6" s="3"/>
      <c r="D6" s="3"/>
      <c r="E6" s="3"/>
      <c r="F6" s="3"/>
      <c r="G6" s="624"/>
      <c r="H6" s="68"/>
      <c r="I6" s="68"/>
      <c r="J6" s="68"/>
      <c r="K6" s="68"/>
      <c r="L6" s="68"/>
      <c r="M6" s="68"/>
      <c r="N6" s="68"/>
      <c r="O6" s="68"/>
      <c r="P6" s="68"/>
      <c r="Q6" s="68"/>
      <c r="R6" s="68"/>
      <c r="S6" s="68"/>
    </row>
    <row r="7" spans="1:19" ht="16.5" x14ac:dyDescent="0.25">
      <c r="A7" s="3" t="str">
        <f>Adresse!D23</f>
        <v>Hauptstr. 1</v>
      </c>
      <c r="B7" s="3"/>
      <c r="C7" s="3"/>
      <c r="D7" s="3"/>
      <c r="E7" s="3"/>
      <c r="F7" s="3"/>
      <c r="G7" s="624"/>
      <c r="H7" s="68"/>
      <c r="I7" s="68"/>
      <c r="J7" s="68"/>
      <c r="K7" s="68"/>
      <c r="L7" s="68"/>
      <c r="M7" s="68"/>
      <c r="N7" s="68"/>
      <c r="O7" s="68"/>
      <c r="P7" s="68"/>
      <c r="Q7" s="68"/>
      <c r="R7" s="68"/>
      <c r="S7" s="68"/>
    </row>
    <row r="8" spans="1:19" ht="16.5" x14ac:dyDescent="0.25">
      <c r="A8" s="3" t="str">
        <f>Adresse!D24</f>
        <v>69159 Mannheim</v>
      </c>
      <c r="B8" s="3"/>
      <c r="C8" s="3"/>
      <c r="D8" s="3"/>
      <c r="E8" s="3"/>
      <c r="F8" s="3"/>
      <c r="G8" s="624"/>
      <c r="H8" s="68"/>
      <c r="I8" s="68"/>
      <c r="J8" s="68"/>
      <c r="K8" s="68"/>
      <c r="L8" s="68"/>
      <c r="M8" s="68"/>
      <c r="N8" s="68"/>
      <c r="O8" s="68"/>
      <c r="P8" s="68"/>
      <c r="Q8" s="68"/>
      <c r="R8" s="68"/>
      <c r="S8" s="68"/>
    </row>
    <row r="9" spans="1:19" ht="16.5" x14ac:dyDescent="0.25">
      <c r="A9" s="3"/>
      <c r="B9" s="3"/>
      <c r="C9" s="3"/>
      <c r="D9" s="3"/>
      <c r="E9" s="3"/>
      <c r="F9" s="3"/>
      <c r="G9" s="624"/>
      <c r="H9" s="68"/>
      <c r="I9" s="68"/>
      <c r="J9" s="68"/>
      <c r="K9" s="68"/>
      <c r="L9" s="68"/>
      <c r="M9" s="68"/>
      <c r="N9" s="68"/>
      <c r="O9" s="68"/>
      <c r="P9" s="68"/>
      <c r="Q9" s="68"/>
      <c r="R9" s="68"/>
      <c r="S9" s="68"/>
    </row>
    <row r="10" spans="1:19" ht="16.5" x14ac:dyDescent="0.25">
      <c r="A10" s="113" t="s">
        <v>329</v>
      </c>
      <c r="B10" s="113"/>
      <c r="C10" s="113"/>
      <c r="D10" s="113"/>
      <c r="E10" s="113"/>
      <c r="F10" s="113"/>
      <c r="G10" s="624"/>
      <c r="H10" s="68"/>
      <c r="I10" s="68"/>
      <c r="J10" s="68"/>
      <c r="K10" s="68"/>
      <c r="L10" s="68"/>
      <c r="M10" s="68"/>
      <c r="N10" s="68"/>
      <c r="O10" s="68"/>
      <c r="P10" s="68"/>
      <c r="Q10" s="68"/>
      <c r="R10" s="68"/>
      <c r="S10" s="68"/>
    </row>
    <row r="11" spans="1:19" ht="16.5" x14ac:dyDescent="0.25">
      <c r="A11" s="113" t="s">
        <v>330</v>
      </c>
      <c r="B11" s="113"/>
      <c r="C11" s="113"/>
      <c r="D11" s="113"/>
      <c r="E11" s="113"/>
      <c r="F11" s="113"/>
      <c r="G11" s="624"/>
      <c r="H11" s="68"/>
      <c r="I11" s="68"/>
      <c r="J11" s="68"/>
      <c r="K11" s="68"/>
      <c r="L11" s="68"/>
      <c r="M11" s="68"/>
      <c r="N11" s="68"/>
      <c r="O11" s="68"/>
      <c r="P11" s="68"/>
      <c r="Q11" s="68"/>
      <c r="R11" s="68"/>
      <c r="S11" s="68"/>
    </row>
    <row r="12" spans="1:19" ht="16.5" x14ac:dyDescent="0.25">
      <c r="A12" s="113"/>
      <c r="B12" s="113"/>
      <c r="C12" s="113"/>
      <c r="D12" s="113"/>
      <c r="E12" s="113"/>
      <c r="F12" s="113"/>
      <c r="G12" s="624"/>
      <c r="H12" s="68"/>
      <c r="I12" s="68"/>
      <c r="J12" s="68"/>
      <c r="K12" s="68"/>
      <c r="L12" s="68"/>
      <c r="M12" s="68"/>
      <c r="N12" s="68"/>
      <c r="O12" s="68"/>
      <c r="P12" s="68"/>
      <c r="Q12" s="68"/>
      <c r="R12" s="68"/>
      <c r="S12" s="68"/>
    </row>
    <row r="13" spans="1:19" ht="16.5" x14ac:dyDescent="0.25">
      <c r="A13" s="113" t="s">
        <v>355</v>
      </c>
      <c r="B13" s="113"/>
      <c r="C13" s="113"/>
      <c r="D13" s="113"/>
      <c r="E13" s="113"/>
      <c r="F13" s="113"/>
      <c r="G13" s="624"/>
      <c r="H13" s="68"/>
      <c r="I13" s="68"/>
      <c r="J13" s="68"/>
      <c r="K13" s="68"/>
      <c r="L13" s="68"/>
      <c r="M13" s="68"/>
      <c r="N13" s="68"/>
      <c r="O13" s="68"/>
      <c r="P13" s="68"/>
      <c r="Q13" s="68"/>
      <c r="R13" s="68"/>
      <c r="S13" s="68"/>
    </row>
    <row r="14" spans="1:19" ht="16.5" x14ac:dyDescent="0.25">
      <c r="A14" s="3"/>
      <c r="B14" s="3"/>
      <c r="C14" s="3"/>
      <c r="D14" s="3"/>
      <c r="E14" s="3"/>
      <c r="F14" s="3"/>
      <c r="G14" s="624"/>
      <c r="H14" s="68"/>
      <c r="I14" s="68"/>
      <c r="J14" s="68"/>
      <c r="K14" s="68"/>
      <c r="L14" s="68"/>
      <c r="M14" s="68"/>
      <c r="N14" s="68"/>
      <c r="O14" s="68"/>
      <c r="P14" s="68"/>
      <c r="Q14" s="68"/>
      <c r="R14" s="68"/>
      <c r="S14" s="68"/>
    </row>
    <row r="15" spans="1:19" ht="16.5" x14ac:dyDescent="0.25">
      <c r="A15" s="3"/>
      <c r="B15" s="3"/>
      <c r="C15" s="3"/>
      <c r="D15" s="3"/>
      <c r="E15" s="3"/>
      <c r="F15" s="3"/>
      <c r="G15" s="624"/>
      <c r="H15" s="68"/>
      <c r="I15" s="68"/>
      <c r="J15" s="68"/>
      <c r="K15" s="68"/>
      <c r="L15" s="68"/>
      <c r="M15" s="68"/>
      <c r="N15" s="68"/>
      <c r="O15" s="68"/>
      <c r="P15" s="68"/>
      <c r="Q15" s="68"/>
      <c r="R15" s="68"/>
      <c r="S15" s="68"/>
    </row>
    <row r="16" spans="1:19" ht="16.5" x14ac:dyDescent="0.25">
      <c r="A16" s="3"/>
      <c r="B16" s="3"/>
      <c r="C16" s="3"/>
      <c r="D16" s="3"/>
      <c r="E16" s="3"/>
      <c r="F16" s="3"/>
      <c r="G16" s="624"/>
      <c r="H16" s="68"/>
      <c r="I16" s="68"/>
      <c r="J16" s="68"/>
      <c r="K16" s="68"/>
      <c r="L16" s="68"/>
      <c r="M16" s="68"/>
      <c r="N16" s="68"/>
      <c r="O16" s="68"/>
      <c r="P16" s="68"/>
      <c r="Q16" s="68"/>
      <c r="R16" s="68"/>
      <c r="S16" s="68"/>
    </row>
    <row r="17" spans="1:19" ht="16.5" x14ac:dyDescent="0.25">
      <c r="A17" s="3"/>
      <c r="B17" s="3"/>
      <c r="C17" s="3"/>
      <c r="D17" s="3"/>
      <c r="E17" s="3"/>
      <c r="F17" s="3"/>
      <c r="G17" s="624"/>
      <c r="H17" s="68"/>
      <c r="I17" s="68"/>
      <c r="J17" s="68"/>
      <c r="K17" s="68"/>
      <c r="L17" s="68"/>
      <c r="M17" s="68"/>
      <c r="N17" s="68"/>
      <c r="O17" s="68"/>
      <c r="P17" s="68"/>
      <c r="Q17" s="68"/>
      <c r="R17" s="68"/>
      <c r="S17" s="68"/>
    </row>
    <row r="18" spans="1:19" ht="16.5" x14ac:dyDescent="0.25">
      <c r="A18" s="3"/>
      <c r="B18" s="3"/>
      <c r="C18" s="3"/>
      <c r="D18" s="3"/>
      <c r="E18" s="3"/>
      <c r="F18" s="3"/>
      <c r="G18" s="624"/>
      <c r="H18" s="68"/>
      <c r="I18" s="68"/>
      <c r="J18" s="68"/>
      <c r="K18" s="68"/>
      <c r="L18" s="68"/>
      <c r="M18" s="68"/>
      <c r="N18" s="68"/>
      <c r="O18" s="68"/>
      <c r="P18" s="68"/>
      <c r="Q18" s="68"/>
      <c r="R18" s="68"/>
      <c r="S18" s="68"/>
    </row>
    <row r="19" spans="1:19" ht="16.5" x14ac:dyDescent="0.25">
      <c r="A19" s="629"/>
      <c r="B19" s="629"/>
      <c r="C19" s="3"/>
      <c r="D19" s="3"/>
      <c r="E19" s="629"/>
      <c r="F19" s="629"/>
      <c r="G19" s="624"/>
      <c r="H19" s="68"/>
      <c r="I19" s="68"/>
      <c r="J19" s="68"/>
      <c r="K19" s="68"/>
      <c r="L19" s="68"/>
      <c r="M19" s="68"/>
      <c r="N19" s="68"/>
      <c r="O19" s="68"/>
      <c r="P19" s="68"/>
      <c r="Q19" s="68"/>
      <c r="R19" s="68"/>
      <c r="S19" s="68"/>
    </row>
    <row r="20" spans="1:19" ht="16.5" x14ac:dyDescent="0.25">
      <c r="A20" t="s">
        <v>354</v>
      </c>
      <c r="B20" s="3"/>
      <c r="C20" s="3"/>
      <c r="D20" s="3"/>
      <c r="E20" s="3" t="str">
        <f>A5</f>
        <v>Klaus Mustermann</v>
      </c>
      <c r="F20" s="3"/>
      <c r="G20" s="624"/>
      <c r="H20" s="68"/>
      <c r="I20" s="68"/>
      <c r="J20" s="68"/>
      <c r="K20" s="68"/>
      <c r="L20" s="68"/>
      <c r="M20" s="68"/>
      <c r="N20" s="68"/>
      <c r="O20" s="68"/>
      <c r="P20" s="68"/>
      <c r="Q20" s="68"/>
      <c r="R20" s="68"/>
      <c r="S20" s="68"/>
    </row>
    <row r="21" spans="1:19" ht="15" x14ac:dyDescent="0.2">
      <c r="A21" s="623"/>
      <c r="B21" s="623"/>
      <c r="C21" s="623"/>
      <c r="D21" s="623"/>
      <c r="E21" s="623"/>
      <c r="F21" s="623"/>
      <c r="G21" s="623"/>
      <c r="H21" s="68"/>
      <c r="I21" s="68"/>
      <c r="J21" s="68"/>
      <c r="K21" s="68"/>
      <c r="L21" s="68"/>
      <c r="M21" s="68"/>
      <c r="N21" s="68"/>
      <c r="O21" s="68"/>
      <c r="P21" s="68"/>
      <c r="Q21" s="68"/>
      <c r="R21" s="68"/>
      <c r="S21" s="68"/>
    </row>
    <row r="22" spans="1:19" x14ac:dyDescent="0.2">
      <c r="A22" s="68"/>
      <c r="B22" s="68"/>
      <c r="C22" s="68"/>
      <c r="D22" s="68"/>
      <c r="E22" s="68"/>
      <c r="F22" s="68"/>
      <c r="G22" s="68"/>
      <c r="H22" s="68"/>
      <c r="I22" s="68"/>
      <c r="J22" s="68"/>
      <c r="K22" s="68"/>
      <c r="L22" s="68"/>
      <c r="M22" s="68"/>
      <c r="N22" s="68"/>
      <c r="O22" s="68"/>
      <c r="P22" s="68"/>
      <c r="Q22" s="68"/>
      <c r="R22" s="68"/>
      <c r="S22" s="68"/>
    </row>
    <row r="23" spans="1:19" x14ac:dyDescent="0.2">
      <c r="A23" s="68"/>
      <c r="B23" s="68"/>
      <c r="C23" s="68"/>
      <c r="D23" s="68"/>
      <c r="E23" s="68"/>
      <c r="F23" s="68"/>
      <c r="G23" s="68"/>
      <c r="H23" s="68"/>
      <c r="I23" s="68"/>
      <c r="J23" s="68"/>
      <c r="K23" s="68"/>
      <c r="L23" s="68"/>
      <c r="M23" s="68"/>
      <c r="N23" s="68"/>
      <c r="O23" s="68"/>
      <c r="P23" s="68"/>
      <c r="Q23" s="68"/>
      <c r="R23" s="68"/>
      <c r="S23" s="68"/>
    </row>
    <row r="24" spans="1:19" x14ac:dyDescent="0.2">
      <c r="A24" s="68"/>
      <c r="B24" s="68"/>
      <c r="C24" s="68"/>
      <c r="D24" s="68"/>
      <c r="E24" s="68"/>
      <c r="F24" s="68"/>
      <c r="G24" s="68"/>
      <c r="H24" s="68"/>
      <c r="I24" s="68"/>
      <c r="J24" s="68"/>
      <c r="K24" s="68"/>
      <c r="L24" s="68"/>
      <c r="M24" s="68"/>
      <c r="N24" s="68"/>
      <c r="O24" s="68"/>
      <c r="P24" s="68"/>
      <c r="Q24" s="68"/>
      <c r="R24" s="68"/>
      <c r="S24" s="68"/>
    </row>
    <row r="25" spans="1:19" x14ac:dyDescent="0.2">
      <c r="A25" s="68"/>
      <c r="B25" s="68"/>
      <c r="C25" s="68"/>
      <c r="D25" s="68"/>
      <c r="E25" s="68"/>
      <c r="F25" s="68"/>
      <c r="G25" s="68"/>
      <c r="H25" s="68"/>
      <c r="I25" s="68"/>
      <c r="J25" s="68"/>
      <c r="K25" s="68"/>
      <c r="L25" s="68"/>
      <c r="M25" s="68"/>
      <c r="N25" s="68"/>
      <c r="O25" s="68"/>
      <c r="P25" s="68"/>
      <c r="Q25" s="68"/>
      <c r="R25" s="68"/>
      <c r="S25" s="68"/>
    </row>
    <row r="26" spans="1:19" x14ac:dyDescent="0.2">
      <c r="A26" s="68"/>
      <c r="B26" s="68"/>
      <c r="C26" s="68"/>
      <c r="D26" s="68"/>
      <c r="E26" s="68"/>
      <c r="F26" s="68"/>
      <c r="G26" s="68"/>
      <c r="H26" s="68"/>
      <c r="I26" s="68"/>
      <c r="J26" s="68"/>
      <c r="K26" s="68"/>
      <c r="L26" s="68"/>
      <c r="M26" s="68"/>
      <c r="N26" s="68"/>
      <c r="O26" s="68"/>
      <c r="P26" s="68"/>
      <c r="Q26" s="68"/>
      <c r="R26" s="68"/>
      <c r="S26" s="68"/>
    </row>
    <row r="27" spans="1:19" x14ac:dyDescent="0.2">
      <c r="A27" s="68"/>
      <c r="B27" s="68"/>
      <c r="C27" s="68"/>
      <c r="D27" s="68"/>
      <c r="E27" s="68"/>
      <c r="F27" s="68"/>
      <c r="G27" s="68"/>
      <c r="H27" s="68"/>
      <c r="I27" s="68"/>
      <c r="J27" s="68"/>
      <c r="K27" s="68"/>
      <c r="L27" s="68"/>
      <c r="M27" s="68"/>
      <c r="N27" s="68"/>
      <c r="O27" s="68"/>
      <c r="P27" s="68"/>
      <c r="Q27" s="68"/>
      <c r="R27" s="68"/>
      <c r="S27" s="68"/>
    </row>
    <row r="28" spans="1:19" x14ac:dyDescent="0.2">
      <c r="A28" s="68"/>
      <c r="B28" s="68"/>
      <c r="C28" s="68"/>
      <c r="D28" s="68"/>
      <c r="E28" s="68"/>
      <c r="F28" s="68"/>
      <c r="G28" s="68"/>
      <c r="H28" s="68"/>
      <c r="I28" s="68"/>
      <c r="J28" s="68"/>
      <c r="K28" s="68"/>
      <c r="L28" s="68"/>
      <c r="M28" s="68"/>
      <c r="N28" s="68"/>
      <c r="O28" s="68"/>
      <c r="P28" s="68"/>
      <c r="Q28" s="68"/>
      <c r="R28" s="68"/>
      <c r="S28" s="68"/>
    </row>
    <row r="29" spans="1:19" x14ac:dyDescent="0.2">
      <c r="A29" s="68"/>
      <c r="B29" s="68"/>
      <c r="C29" s="68"/>
      <c r="D29" s="68"/>
      <c r="E29" s="68"/>
      <c r="F29" s="68"/>
      <c r="G29" s="68"/>
      <c r="H29" s="68"/>
      <c r="I29" s="68"/>
      <c r="J29" s="68"/>
      <c r="K29" s="68"/>
      <c r="L29" s="68"/>
      <c r="M29" s="68"/>
      <c r="N29" s="68"/>
      <c r="O29" s="68"/>
      <c r="P29" s="68"/>
      <c r="Q29" s="68"/>
      <c r="R29" s="68"/>
      <c r="S29" s="68"/>
    </row>
    <row r="30" spans="1:19" x14ac:dyDescent="0.2">
      <c r="A30" s="68"/>
      <c r="B30" s="68"/>
      <c r="C30" s="68"/>
      <c r="D30" s="68"/>
      <c r="E30" s="68"/>
      <c r="F30" s="68"/>
      <c r="G30" s="68"/>
      <c r="H30" s="68"/>
      <c r="I30" s="68"/>
      <c r="J30" s="68"/>
      <c r="K30" s="68"/>
      <c r="L30" s="68"/>
      <c r="M30" s="68"/>
      <c r="N30" s="68"/>
      <c r="O30" s="68"/>
      <c r="P30" s="68"/>
      <c r="Q30" s="68"/>
      <c r="R30" s="68"/>
      <c r="S30" s="68"/>
    </row>
    <row r="31" spans="1:19" x14ac:dyDescent="0.2">
      <c r="A31" s="68"/>
      <c r="B31" s="68"/>
      <c r="C31" s="68"/>
      <c r="D31" s="68"/>
      <c r="E31" s="68"/>
      <c r="F31" s="68"/>
      <c r="G31" s="68"/>
      <c r="H31" s="68"/>
      <c r="I31" s="68"/>
      <c r="J31" s="68"/>
      <c r="K31" s="68"/>
      <c r="L31" s="68"/>
      <c r="M31" s="68"/>
      <c r="N31" s="68"/>
      <c r="O31" s="68"/>
      <c r="P31" s="68"/>
      <c r="Q31" s="68"/>
      <c r="R31" s="68"/>
      <c r="S31" s="68"/>
    </row>
    <row r="32" spans="1:19" x14ac:dyDescent="0.2">
      <c r="A32" s="68"/>
      <c r="B32" s="68"/>
      <c r="C32" s="68"/>
      <c r="D32" s="68"/>
      <c r="E32" s="68"/>
      <c r="F32" s="68"/>
      <c r="G32" s="68"/>
      <c r="H32" s="68"/>
      <c r="I32" s="68"/>
      <c r="J32" s="68"/>
      <c r="K32" s="68"/>
      <c r="L32" s="68"/>
      <c r="M32" s="68"/>
      <c r="N32" s="68"/>
      <c r="O32" s="68"/>
      <c r="P32" s="68"/>
      <c r="Q32" s="68"/>
      <c r="R32" s="68"/>
      <c r="S32" s="68"/>
    </row>
    <row r="33" spans="1:19" x14ac:dyDescent="0.2">
      <c r="A33" s="68"/>
      <c r="B33" s="68"/>
      <c r="C33" s="68"/>
      <c r="D33" s="68"/>
      <c r="E33" s="68"/>
      <c r="F33" s="68"/>
      <c r="G33" s="68"/>
      <c r="H33" s="68"/>
      <c r="I33" s="68"/>
      <c r="J33" s="68"/>
      <c r="K33" s="68"/>
      <c r="L33" s="68"/>
      <c r="M33" s="68"/>
      <c r="N33" s="68"/>
      <c r="O33" s="68"/>
      <c r="P33" s="68"/>
      <c r="Q33" s="68"/>
      <c r="R33" s="68"/>
      <c r="S33" s="68"/>
    </row>
    <row r="34" spans="1:19" x14ac:dyDescent="0.2">
      <c r="A34" s="68"/>
      <c r="B34" s="68"/>
      <c r="C34" s="68"/>
      <c r="D34" s="68"/>
      <c r="E34" s="68"/>
      <c r="F34" s="68"/>
      <c r="G34" s="68"/>
      <c r="H34" s="68"/>
      <c r="I34" s="68"/>
      <c r="J34" s="68"/>
      <c r="K34" s="68"/>
      <c r="L34" s="68"/>
      <c r="M34" s="68"/>
      <c r="N34" s="68"/>
      <c r="O34" s="68"/>
      <c r="P34" s="68"/>
      <c r="Q34" s="68"/>
      <c r="R34" s="68"/>
      <c r="S34" s="68"/>
    </row>
    <row r="35" spans="1:19" x14ac:dyDescent="0.2">
      <c r="A35" s="68"/>
      <c r="B35" s="68"/>
      <c r="C35" s="68"/>
      <c r="D35" s="68"/>
      <c r="E35" s="68"/>
      <c r="F35" s="68"/>
      <c r="G35" s="68"/>
      <c r="H35" s="68"/>
      <c r="I35" s="68"/>
      <c r="J35" s="68"/>
      <c r="K35" s="68"/>
      <c r="L35" s="68"/>
      <c r="M35" s="68"/>
      <c r="N35" s="68"/>
      <c r="O35" s="68"/>
      <c r="P35" s="68"/>
      <c r="Q35" s="68"/>
      <c r="R35" s="68"/>
      <c r="S35" s="68"/>
    </row>
    <row r="36" spans="1:19" x14ac:dyDescent="0.2">
      <c r="A36" s="68"/>
      <c r="B36" s="68"/>
      <c r="C36" s="68"/>
      <c r="D36" s="68"/>
      <c r="E36" s="68"/>
      <c r="F36" s="68"/>
      <c r="G36" s="68"/>
      <c r="H36" s="68"/>
      <c r="I36" s="68"/>
      <c r="J36" s="68"/>
      <c r="K36" s="68"/>
      <c r="L36" s="68"/>
      <c r="M36" s="68"/>
      <c r="N36" s="68"/>
      <c r="O36" s="68"/>
      <c r="P36" s="68"/>
      <c r="Q36" s="68"/>
      <c r="R36" s="68"/>
      <c r="S36" s="68"/>
    </row>
    <row r="37" spans="1:19" x14ac:dyDescent="0.2">
      <c r="A37" s="68"/>
      <c r="B37" s="68"/>
      <c r="C37" s="68"/>
      <c r="D37" s="68"/>
      <c r="E37" s="68"/>
      <c r="F37" s="68"/>
      <c r="G37" s="68"/>
      <c r="H37" s="68"/>
      <c r="I37" s="68"/>
      <c r="J37" s="68"/>
      <c r="K37" s="68"/>
      <c r="L37" s="68"/>
      <c r="M37" s="68"/>
      <c r="N37" s="68"/>
      <c r="O37" s="68"/>
      <c r="P37" s="68"/>
      <c r="Q37" s="68"/>
      <c r="R37" s="68"/>
      <c r="S37" s="68"/>
    </row>
    <row r="38" spans="1:19" x14ac:dyDescent="0.2">
      <c r="A38" s="68"/>
      <c r="B38" s="68"/>
      <c r="C38" s="68"/>
      <c r="D38" s="68"/>
      <c r="E38" s="68"/>
      <c r="F38" s="68"/>
      <c r="G38" s="68"/>
      <c r="H38" s="68"/>
      <c r="I38" s="68"/>
      <c r="J38" s="68"/>
      <c r="K38" s="68"/>
      <c r="L38" s="68"/>
      <c r="M38" s="68"/>
      <c r="N38" s="68"/>
      <c r="O38" s="68"/>
      <c r="P38" s="68"/>
      <c r="Q38" s="68"/>
      <c r="R38" s="68"/>
      <c r="S38" s="68"/>
    </row>
    <row r="39" spans="1:19" x14ac:dyDescent="0.2">
      <c r="A39" s="68"/>
      <c r="B39" s="68"/>
      <c r="C39" s="68"/>
      <c r="D39" s="68"/>
      <c r="E39" s="68"/>
      <c r="F39" s="68"/>
      <c r="G39" s="68"/>
      <c r="H39" s="68"/>
      <c r="I39" s="68"/>
      <c r="J39" s="68"/>
      <c r="K39" s="68"/>
      <c r="L39" s="68"/>
      <c r="M39" s="68"/>
      <c r="N39" s="68"/>
      <c r="O39" s="68"/>
      <c r="P39" s="68"/>
      <c r="Q39" s="68"/>
      <c r="R39" s="68"/>
      <c r="S39" s="68"/>
    </row>
    <row r="40" spans="1:19" x14ac:dyDescent="0.2">
      <c r="A40" s="68"/>
      <c r="B40" s="68"/>
      <c r="C40" s="68"/>
      <c r="D40" s="68"/>
      <c r="E40" s="68"/>
      <c r="F40" s="68"/>
      <c r="G40" s="68"/>
      <c r="H40" s="68"/>
      <c r="I40" s="68"/>
      <c r="J40" s="68"/>
      <c r="K40" s="68"/>
      <c r="L40" s="68"/>
      <c r="M40" s="68"/>
      <c r="N40" s="68"/>
      <c r="O40" s="68"/>
      <c r="P40" s="68"/>
      <c r="Q40" s="68"/>
      <c r="R40" s="68"/>
      <c r="S40" s="68"/>
    </row>
    <row r="41" spans="1:19" x14ac:dyDescent="0.2">
      <c r="A41" s="68"/>
      <c r="B41" s="68"/>
      <c r="C41" s="68"/>
      <c r="D41" s="68"/>
      <c r="E41" s="68"/>
      <c r="F41" s="68"/>
      <c r="G41" s="68"/>
      <c r="H41" s="68"/>
      <c r="I41" s="68"/>
      <c r="J41" s="68"/>
      <c r="K41" s="68"/>
      <c r="L41" s="68"/>
      <c r="M41" s="68"/>
      <c r="N41" s="68"/>
      <c r="O41" s="68"/>
      <c r="P41" s="68"/>
      <c r="Q41" s="68"/>
      <c r="R41" s="68"/>
      <c r="S41" s="68"/>
    </row>
    <row r="42" spans="1:19" x14ac:dyDescent="0.2">
      <c r="A42" s="68"/>
      <c r="B42" s="68"/>
      <c r="C42" s="68"/>
      <c r="D42" s="68"/>
      <c r="E42" s="68"/>
      <c r="F42" s="68"/>
      <c r="G42" s="68"/>
      <c r="H42" s="68"/>
      <c r="I42" s="68"/>
      <c r="J42" s="68"/>
      <c r="K42" s="68"/>
      <c r="L42" s="68"/>
      <c r="M42" s="68"/>
      <c r="N42" s="68"/>
      <c r="O42" s="68"/>
      <c r="P42" s="68"/>
      <c r="Q42" s="68"/>
      <c r="R42" s="68"/>
      <c r="S42" s="68"/>
    </row>
    <row r="43" spans="1:19" x14ac:dyDescent="0.2">
      <c r="A43" s="68"/>
      <c r="B43" s="68"/>
      <c r="C43" s="68"/>
      <c r="D43" s="68"/>
      <c r="E43" s="68"/>
      <c r="F43" s="68"/>
      <c r="G43" s="68"/>
      <c r="H43" s="68"/>
      <c r="I43" s="68"/>
      <c r="J43" s="68"/>
      <c r="K43" s="68"/>
      <c r="L43" s="68"/>
      <c r="M43" s="68"/>
      <c r="N43" s="68"/>
      <c r="O43" s="68"/>
      <c r="P43" s="68"/>
      <c r="Q43" s="68"/>
      <c r="R43" s="68"/>
      <c r="S43" s="68"/>
    </row>
    <row r="44" spans="1:19" x14ac:dyDescent="0.2">
      <c r="A44" s="68"/>
      <c r="B44" s="68"/>
      <c r="C44" s="68"/>
      <c r="D44" s="68"/>
      <c r="E44" s="68"/>
      <c r="F44" s="68"/>
      <c r="G44" s="68"/>
      <c r="H44" s="68"/>
      <c r="I44" s="68"/>
      <c r="J44" s="68"/>
      <c r="K44" s="68"/>
      <c r="L44" s="68"/>
      <c r="M44" s="68"/>
      <c r="N44" s="68"/>
      <c r="O44" s="68"/>
      <c r="P44" s="68"/>
      <c r="Q44" s="68"/>
      <c r="R44" s="68"/>
      <c r="S44" s="68"/>
    </row>
    <row r="45" spans="1:19" x14ac:dyDescent="0.2">
      <c r="A45" s="68"/>
      <c r="B45" s="68"/>
      <c r="C45" s="68"/>
      <c r="D45" s="68"/>
      <c r="E45" s="68"/>
      <c r="F45" s="68"/>
      <c r="G45" s="68"/>
      <c r="H45" s="68"/>
      <c r="I45" s="68"/>
      <c r="J45" s="68"/>
      <c r="K45" s="68"/>
      <c r="L45" s="68"/>
      <c r="M45" s="68"/>
      <c r="N45" s="68"/>
      <c r="O45" s="68"/>
      <c r="P45" s="68"/>
      <c r="Q45" s="68"/>
      <c r="R45" s="68"/>
      <c r="S45" s="68"/>
    </row>
    <row r="46" spans="1:19" x14ac:dyDescent="0.2">
      <c r="A46" s="68"/>
      <c r="B46" s="68"/>
      <c r="C46" s="68"/>
      <c r="D46" s="68"/>
      <c r="E46" s="68"/>
      <c r="F46" s="68"/>
      <c r="G46" s="68"/>
      <c r="H46" s="68"/>
      <c r="I46" s="68"/>
      <c r="J46" s="68"/>
      <c r="K46" s="68"/>
      <c r="L46" s="68"/>
      <c r="M46" s="68"/>
      <c r="N46" s="68"/>
      <c r="O46" s="68"/>
      <c r="P46" s="68"/>
      <c r="Q46" s="68"/>
      <c r="R46" s="68"/>
      <c r="S46" s="68"/>
    </row>
    <row r="47" spans="1:19" x14ac:dyDescent="0.2">
      <c r="A47" s="68"/>
      <c r="B47" s="68"/>
      <c r="C47" s="68"/>
      <c r="D47" s="68"/>
      <c r="E47" s="68"/>
      <c r="F47" s="68"/>
      <c r="G47" s="68"/>
      <c r="H47" s="68"/>
      <c r="I47" s="68"/>
      <c r="J47" s="68"/>
      <c r="K47" s="68"/>
      <c r="L47" s="68"/>
      <c r="M47" s="68"/>
      <c r="N47" s="68"/>
      <c r="O47" s="68"/>
      <c r="P47" s="68"/>
      <c r="Q47" s="68"/>
      <c r="R47" s="68"/>
      <c r="S47" s="68"/>
    </row>
    <row r="48" spans="1:19" x14ac:dyDescent="0.2">
      <c r="A48" s="68"/>
      <c r="B48" s="68"/>
      <c r="C48" s="68"/>
      <c r="D48" s="68"/>
      <c r="E48" s="68"/>
      <c r="F48" s="68"/>
      <c r="G48" s="68"/>
      <c r="H48" s="68"/>
      <c r="I48" s="68"/>
      <c r="J48" s="68"/>
      <c r="K48" s="68"/>
      <c r="L48" s="68"/>
      <c r="M48" s="68"/>
      <c r="N48" s="68"/>
      <c r="O48" s="68"/>
      <c r="P48" s="68"/>
      <c r="Q48" s="68"/>
      <c r="R48" s="68"/>
      <c r="S48" s="68"/>
    </row>
    <row r="49" spans="1:19" x14ac:dyDescent="0.2">
      <c r="A49" s="68"/>
      <c r="B49" s="68"/>
      <c r="C49" s="68"/>
      <c r="D49" s="68"/>
      <c r="E49" s="68"/>
      <c r="F49" s="68"/>
      <c r="G49" s="68"/>
      <c r="H49" s="68"/>
      <c r="I49" s="68"/>
      <c r="J49" s="68"/>
      <c r="K49" s="68"/>
      <c r="L49" s="68"/>
      <c r="M49" s="68"/>
      <c r="N49" s="68"/>
      <c r="O49" s="68"/>
      <c r="P49" s="68"/>
      <c r="Q49" s="68"/>
      <c r="R49" s="68"/>
      <c r="S49" s="68"/>
    </row>
    <row r="50" spans="1:19" x14ac:dyDescent="0.2">
      <c r="A50" s="68"/>
      <c r="B50" s="68"/>
      <c r="C50" s="68"/>
      <c r="D50" s="68"/>
      <c r="E50" s="68"/>
      <c r="F50" s="68"/>
      <c r="G50" s="68"/>
      <c r="H50" s="68"/>
      <c r="I50" s="68"/>
      <c r="J50" s="68"/>
      <c r="K50" s="68"/>
      <c r="L50" s="68"/>
      <c r="M50" s="68"/>
      <c r="N50" s="68"/>
      <c r="O50" s="68"/>
      <c r="P50" s="68"/>
      <c r="Q50" s="68"/>
      <c r="R50" s="68"/>
      <c r="S50" s="68"/>
    </row>
    <row r="51" spans="1:19" x14ac:dyDescent="0.2">
      <c r="A51" s="68"/>
      <c r="B51" s="68"/>
      <c r="C51" s="68"/>
      <c r="D51" s="68"/>
      <c r="E51" s="68"/>
      <c r="F51" s="68"/>
      <c r="G51" s="68"/>
      <c r="H51" s="68"/>
      <c r="I51" s="68"/>
      <c r="J51" s="68"/>
      <c r="K51" s="68"/>
      <c r="L51" s="68"/>
      <c r="M51" s="68"/>
      <c r="N51" s="68"/>
      <c r="O51" s="68"/>
      <c r="P51" s="68"/>
      <c r="Q51" s="68"/>
      <c r="R51" s="68"/>
      <c r="S51" s="68"/>
    </row>
    <row r="52" spans="1:19" x14ac:dyDescent="0.2">
      <c r="A52" s="68"/>
      <c r="B52" s="68"/>
      <c r="C52" s="68"/>
      <c r="D52" s="68"/>
      <c r="E52" s="68"/>
      <c r="F52" s="68"/>
      <c r="G52" s="68"/>
      <c r="H52" s="68"/>
      <c r="I52" s="68"/>
      <c r="J52" s="68"/>
      <c r="K52" s="68"/>
      <c r="L52" s="68"/>
      <c r="M52" s="68"/>
      <c r="N52" s="68"/>
      <c r="O52" s="68"/>
      <c r="P52" s="68"/>
      <c r="Q52" s="68"/>
      <c r="R52" s="68"/>
      <c r="S52" s="68"/>
    </row>
    <row r="53" spans="1:19" x14ac:dyDescent="0.2">
      <c r="A53" s="68"/>
      <c r="B53" s="68"/>
      <c r="C53" s="68"/>
      <c r="D53" s="68"/>
      <c r="E53" s="68"/>
      <c r="F53" s="68"/>
      <c r="G53" s="68"/>
      <c r="H53" s="68"/>
      <c r="I53" s="68"/>
      <c r="J53" s="68"/>
      <c r="K53" s="68"/>
      <c r="L53" s="68"/>
      <c r="M53" s="68"/>
      <c r="N53" s="68"/>
      <c r="O53" s="68"/>
      <c r="P53" s="68"/>
      <c r="Q53" s="68"/>
      <c r="R53" s="68"/>
      <c r="S53" s="68"/>
    </row>
    <row r="54" spans="1:19" x14ac:dyDescent="0.2">
      <c r="A54" s="68"/>
      <c r="B54" s="68"/>
      <c r="C54" s="68"/>
      <c r="D54" s="68"/>
      <c r="E54" s="68"/>
      <c r="F54" s="68"/>
      <c r="G54" s="68"/>
      <c r="H54" s="68"/>
      <c r="I54" s="68"/>
      <c r="J54" s="68"/>
      <c r="K54" s="68"/>
      <c r="L54" s="68"/>
      <c r="M54" s="68"/>
      <c r="N54" s="68"/>
      <c r="O54" s="68"/>
      <c r="P54" s="68"/>
      <c r="Q54" s="68"/>
      <c r="R54" s="68"/>
      <c r="S54" s="68"/>
    </row>
    <row r="55" spans="1:19" x14ac:dyDescent="0.2">
      <c r="A55" s="68"/>
      <c r="B55" s="68"/>
      <c r="C55" s="68"/>
      <c r="D55" s="68"/>
      <c r="E55" s="68"/>
      <c r="F55" s="68"/>
      <c r="G55" s="68"/>
      <c r="H55" s="68"/>
      <c r="I55" s="68"/>
      <c r="J55" s="68"/>
      <c r="K55" s="68"/>
      <c r="L55" s="68"/>
      <c r="M55" s="68"/>
      <c r="N55" s="68"/>
      <c r="O55" s="68"/>
      <c r="P55" s="68"/>
      <c r="Q55" s="68"/>
      <c r="R55" s="68"/>
      <c r="S55" s="68"/>
    </row>
    <row r="56" spans="1:19" x14ac:dyDescent="0.2">
      <c r="A56" s="68"/>
      <c r="B56" s="68"/>
      <c r="C56" s="68"/>
      <c r="D56" s="68"/>
      <c r="E56" s="68"/>
      <c r="F56" s="68"/>
      <c r="G56" s="68"/>
      <c r="H56" s="68"/>
      <c r="I56" s="68"/>
      <c r="J56" s="68"/>
      <c r="K56" s="68"/>
      <c r="L56" s="68"/>
      <c r="M56" s="68"/>
      <c r="N56" s="68"/>
      <c r="O56" s="68"/>
      <c r="P56" s="68"/>
      <c r="Q56" s="68"/>
      <c r="R56" s="68"/>
      <c r="S56" s="68"/>
    </row>
    <row r="57" spans="1:19" x14ac:dyDescent="0.2">
      <c r="A57" s="68"/>
      <c r="B57" s="68"/>
      <c r="C57" s="68"/>
      <c r="D57" s="68"/>
      <c r="E57" s="68"/>
      <c r="F57" s="68"/>
      <c r="G57" s="68"/>
      <c r="H57" s="68"/>
      <c r="I57" s="68"/>
      <c r="J57" s="68"/>
      <c r="K57" s="68"/>
      <c r="L57" s="68"/>
      <c r="M57" s="68"/>
      <c r="N57" s="68"/>
      <c r="O57" s="68"/>
      <c r="P57" s="68"/>
      <c r="Q57" s="68"/>
      <c r="R57" s="68"/>
      <c r="S57" s="68"/>
    </row>
    <row r="58" spans="1:19" x14ac:dyDescent="0.2">
      <c r="A58" s="68"/>
      <c r="B58" s="68"/>
      <c r="C58" s="68"/>
      <c r="D58" s="68"/>
      <c r="E58" s="68"/>
      <c r="F58" s="68"/>
      <c r="G58" s="68"/>
      <c r="H58" s="68"/>
      <c r="I58" s="68"/>
      <c r="J58" s="68"/>
      <c r="K58" s="68"/>
      <c r="L58" s="68"/>
      <c r="M58" s="68"/>
      <c r="N58" s="68"/>
      <c r="O58" s="68"/>
      <c r="P58" s="68"/>
      <c r="Q58" s="68"/>
      <c r="R58" s="68"/>
      <c r="S58" s="68"/>
    </row>
    <row r="59" spans="1:19" x14ac:dyDescent="0.2">
      <c r="A59" s="68"/>
      <c r="B59" s="68"/>
      <c r="C59" s="68"/>
      <c r="D59" s="68"/>
      <c r="E59" s="68"/>
      <c r="F59" s="68"/>
      <c r="G59" s="68"/>
      <c r="H59" s="68"/>
      <c r="I59" s="68"/>
      <c r="J59" s="68"/>
      <c r="K59" s="68"/>
      <c r="L59" s="68"/>
      <c r="M59" s="68"/>
      <c r="N59" s="68"/>
      <c r="O59" s="68"/>
      <c r="P59" s="68"/>
      <c r="Q59" s="68"/>
      <c r="R59" s="68"/>
      <c r="S59" s="68"/>
    </row>
    <row r="60" spans="1:19" x14ac:dyDescent="0.2">
      <c r="A60" s="68"/>
      <c r="B60" s="68"/>
      <c r="C60" s="68"/>
      <c r="D60" s="68"/>
      <c r="E60" s="68"/>
      <c r="F60" s="68"/>
      <c r="G60" s="68"/>
      <c r="H60" s="68"/>
      <c r="I60" s="68"/>
      <c r="J60" s="68"/>
      <c r="K60" s="68"/>
      <c r="L60" s="68"/>
      <c r="M60" s="68"/>
      <c r="N60" s="68"/>
      <c r="O60" s="68"/>
      <c r="P60" s="68"/>
      <c r="Q60" s="68"/>
      <c r="R60" s="68"/>
      <c r="S60" s="68"/>
    </row>
    <row r="61" spans="1:19" x14ac:dyDescent="0.2">
      <c r="A61" s="68"/>
      <c r="B61" s="68"/>
      <c r="C61" s="68"/>
      <c r="D61" s="68"/>
      <c r="E61" s="68"/>
      <c r="F61" s="68"/>
      <c r="G61" s="68"/>
      <c r="H61" s="68"/>
      <c r="I61" s="68"/>
      <c r="J61" s="68"/>
      <c r="K61" s="68"/>
      <c r="L61" s="68"/>
      <c r="M61" s="68"/>
      <c r="N61" s="68"/>
      <c r="O61" s="68"/>
      <c r="P61" s="68"/>
      <c r="Q61" s="68"/>
      <c r="R61" s="68"/>
      <c r="S61" s="68"/>
    </row>
    <row r="62" spans="1:19" x14ac:dyDescent="0.2">
      <c r="A62" s="68"/>
      <c r="B62" s="68"/>
      <c r="C62" s="68"/>
      <c r="D62" s="68"/>
      <c r="E62" s="68"/>
      <c r="F62" s="68"/>
      <c r="G62" s="68"/>
      <c r="H62" s="68"/>
      <c r="I62" s="68"/>
      <c r="J62" s="68"/>
      <c r="K62" s="68"/>
      <c r="L62" s="68"/>
      <c r="M62" s="68"/>
      <c r="N62" s="68"/>
      <c r="O62" s="68"/>
      <c r="P62" s="68"/>
      <c r="Q62" s="68"/>
      <c r="R62" s="68"/>
      <c r="S62" s="68"/>
    </row>
    <row r="63" spans="1:19" x14ac:dyDescent="0.2">
      <c r="A63" s="68"/>
      <c r="B63" s="68"/>
      <c r="C63" s="68"/>
      <c r="D63" s="68"/>
      <c r="E63" s="68"/>
      <c r="F63" s="68"/>
      <c r="G63" s="68"/>
      <c r="H63" s="68"/>
      <c r="I63" s="68"/>
      <c r="J63" s="68"/>
      <c r="K63" s="68"/>
      <c r="L63" s="68"/>
      <c r="M63" s="68"/>
      <c r="N63" s="68"/>
      <c r="O63" s="68"/>
      <c r="P63" s="68"/>
      <c r="Q63" s="68"/>
      <c r="R63" s="68"/>
      <c r="S63" s="68"/>
    </row>
    <row r="64" spans="1:19" x14ac:dyDescent="0.2">
      <c r="A64" s="68"/>
      <c r="B64" s="68"/>
      <c r="C64" s="68"/>
      <c r="D64" s="68"/>
      <c r="E64" s="68"/>
      <c r="F64" s="68"/>
      <c r="G64" s="68"/>
      <c r="H64" s="68"/>
      <c r="I64" s="68"/>
      <c r="J64" s="68"/>
      <c r="K64" s="68"/>
      <c r="L64" s="68"/>
      <c r="M64" s="68"/>
      <c r="N64" s="68"/>
      <c r="O64" s="68"/>
      <c r="P64" s="68"/>
      <c r="Q64" s="68"/>
      <c r="R64" s="68"/>
      <c r="S64" s="68"/>
    </row>
  </sheetData>
  <sheetProtection password="C12A" sheet="1" objects="1" scenarios="1" selectLockedCells="1"/>
  <mergeCells count="1">
    <mergeCell ref="A1:F2"/>
  </mergeCells>
  <pageMargins left="0.70866141732283472" right="0.70866141732283472" top="0.78740157480314965" bottom="0.78740157480314965" header="0.31496062992125984" footer="0.31496062992125984"/>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I35"/>
  <sheetViews>
    <sheetView topLeftCell="A10" zoomScaleNormal="100" zoomScaleSheetLayoutView="90" zoomScalePageLayoutView="50" workbookViewId="0">
      <selection activeCell="D30" sqref="D30"/>
    </sheetView>
  </sheetViews>
  <sheetFormatPr baseColWidth="10" defaultRowHeight="14.25" x14ac:dyDescent="0.2"/>
  <cols>
    <col min="1" max="1" width="30.375" customWidth="1"/>
    <col min="2" max="2" width="21.875" customWidth="1"/>
    <col min="4" max="4" width="11.625" customWidth="1"/>
    <col min="5" max="5" width="8.75" customWidth="1"/>
    <col min="6" max="6" width="15.875" customWidth="1"/>
    <col min="7" max="7" width="7" customWidth="1"/>
  </cols>
  <sheetData>
    <row r="1" spans="1:9" x14ac:dyDescent="0.2">
      <c r="A1" s="922" t="s">
        <v>1</v>
      </c>
      <c r="B1" s="922"/>
      <c r="C1" s="922"/>
      <c r="D1" s="922"/>
      <c r="E1" s="922"/>
      <c r="F1" s="922"/>
      <c r="G1" s="922"/>
    </row>
    <row r="2" spans="1:9" x14ac:dyDescent="0.2">
      <c r="A2" s="922"/>
      <c r="B2" s="922"/>
      <c r="C2" s="922"/>
      <c r="D2" s="922"/>
      <c r="E2" s="922"/>
      <c r="F2" s="922"/>
      <c r="G2" s="922"/>
    </row>
    <row r="3" spans="1:9" ht="18" customHeight="1" x14ac:dyDescent="0.2">
      <c r="A3" s="614"/>
      <c r="B3" s="686"/>
      <c r="C3" s="687"/>
      <c r="D3" s="615"/>
      <c r="E3" s="615"/>
      <c r="F3" s="615"/>
      <c r="G3" s="615"/>
    </row>
    <row r="4" spans="1:9" ht="18" customHeight="1" x14ac:dyDescent="0.2">
      <c r="A4" s="687"/>
      <c r="B4" s="687"/>
      <c r="C4" s="687"/>
      <c r="D4" s="923"/>
      <c r="E4" s="923"/>
      <c r="F4" s="924"/>
      <c r="G4" s="924"/>
    </row>
    <row r="5" spans="1:9" ht="18" customHeight="1" x14ac:dyDescent="0.2">
      <c r="A5" s="687"/>
      <c r="B5" s="29"/>
      <c r="C5" s="687"/>
      <c r="D5" s="615"/>
      <c r="E5" s="615"/>
      <c r="F5" s="615"/>
      <c r="G5" s="615"/>
    </row>
    <row r="6" spans="1:9" ht="18" customHeight="1" x14ac:dyDescent="0.2">
      <c r="A6" s="616" t="s">
        <v>2</v>
      </c>
      <c r="B6" s="158"/>
      <c r="C6" s="688"/>
      <c r="D6" s="617"/>
      <c r="E6" s="617"/>
      <c r="F6" s="617"/>
      <c r="G6" s="617"/>
    </row>
    <row r="7" spans="1:9" ht="18" customHeight="1" x14ac:dyDescent="0.2">
      <c r="A7" s="159"/>
      <c r="B7" s="160"/>
      <c r="C7" s="689"/>
      <c r="D7" s="618"/>
      <c r="E7" s="618"/>
      <c r="F7" s="618"/>
      <c r="G7" s="618"/>
    </row>
    <row r="8" spans="1:9" ht="18" customHeight="1" x14ac:dyDescent="0.2">
      <c r="A8" s="159" t="s">
        <v>393</v>
      </c>
      <c r="B8" s="159"/>
      <c r="C8" s="690"/>
      <c r="D8" s="703">
        <v>0</v>
      </c>
      <c r="E8" s="630"/>
      <c r="F8" s="161"/>
      <c r="G8" s="161"/>
    </row>
    <row r="9" spans="1:9" ht="18" customHeight="1" x14ac:dyDescent="0.2">
      <c r="A9" s="159" t="s">
        <v>394</v>
      </c>
      <c r="B9" s="159"/>
      <c r="C9" s="690"/>
      <c r="D9" s="703">
        <v>4000</v>
      </c>
      <c r="E9" s="630"/>
      <c r="F9" s="161"/>
      <c r="G9" s="161"/>
      <c r="I9" t="s">
        <v>424</v>
      </c>
    </row>
    <row r="10" spans="1:9" ht="18" customHeight="1" x14ac:dyDescent="0.2">
      <c r="A10" s="159" t="s">
        <v>395</v>
      </c>
      <c r="B10" s="159"/>
      <c r="C10" s="690"/>
      <c r="D10" s="703">
        <v>20000</v>
      </c>
      <c r="E10" s="630"/>
      <c r="F10" s="161"/>
      <c r="G10" s="161"/>
    </row>
    <row r="11" spans="1:9" ht="18" customHeight="1" x14ac:dyDescent="0.2">
      <c r="A11" s="159" t="s">
        <v>3</v>
      </c>
      <c r="B11" s="159"/>
      <c r="C11" s="690"/>
      <c r="D11" s="703">
        <v>17500</v>
      </c>
      <c r="E11" s="630"/>
      <c r="F11" s="161"/>
      <c r="G11" s="161"/>
    </row>
    <row r="12" spans="1:9" ht="18" customHeight="1" x14ac:dyDescent="0.2">
      <c r="A12" s="159" t="s">
        <v>4</v>
      </c>
      <c r="B12" s="159"/>
      <c r="C12" s="690"/>
      <c r="D12" s="703">
        <v>10000</v>
      </c>
      <c r="E12" s="630"/>
      <c r="F12" s="161"/>
      <c r="G12" s="161"/>
    </row>
    <row r="13" spans="1:9" ht="18" customHeight="1" x14ac:dyDescent="0.2">
      <c r="A13" s="159" t="s">
        <v>5</v>
      </c>
      <c r="B13" s="159"/>
      <c r="C13" s="690"/>
      <c r="D13" s="703">
        <v>40000</v>
      </c>
      <c r="E13" s="630"/>
      <c r="F13" s="161"/>
      <c r="G13" s="161"/>
    </row>
    <row r="14" spans="1:9" ht="18" customHeight="1" x14ac:dyDescent="0.2">
      <c r="A14" s="159" t="s">
        <v>396</v>
      </c>
      <c r="B14" s="159"/>
      <c r="C14" s="690"/>
      <c r="D14" s="703">
        <v>5000</v>
      </c>
      <c r="E14" s="630"/>
      <c r="F14" s="161"/>
      <c r="G14" s="161"/>
    </row>
    <row r="15" spans="1:9" ht="18" customHeight="1" x14ac:dyDescent="0.2">
      <c r="A15" s="159" t="s">
        <v>6</v>
      </c>
      <c r="B15" s="159"/>
      <c r="C15" s="690"/>
      <c r="D15" s="703">
        <v>5000</v>
      </c>
      <c r="E15" s="630"/>
      <c r="F15" s="161"/>
      <c r="G15" s="161"/>
    </row>
    <row r="16" spans="1:9" ht="18" customHeight="1" x14ac:dyDescent="0.2">
      <c r="A16" s="159" t="s">
        <v>7</v>
      </c>
      <c r="B16" s="159"/>
      <c r="C16" s="690"/>
      <c r="D16" s="703">
        <v>0</v>
      </c>
      <c r="E16" s="630"/>
      <c r="F16" s="161"/>
      <c r="G16" s="161"/>
    </row>
    <row r="17" spans="1:8" ht="18" customHeight="1" x14ac:dyDescent="0.2">
      <c r="A17" s="159" t="s">
        <v>8</v>
      </c>
      <c r="B17" s="159"/>
      <c r="C17" s="690"/>
      <c r="D17" s="703">
        <v>5000</v>
      </c>
      <c r="E17" s="630"/>
      <c r="F17" s="161"/>
      <c r="G17" s="161"/>
    </row>
    <row r="18" spans="1:8" ht="18" customHeight="1" x14ac:dyDescent="0.2">
      <c r="A18" s="159" t="s">
        <v>9</v>
      </c>
      <c r="B18" s="159"/>
      <c r="C18" s="690"/>
      <c r="D18" s="703">
        <v>1000</v>
      </c>
      <c r="E18" s="630"/>
      <c r="F18" s="161"/>
      <c r="G18" s="161"/>
    </row>
    <row r="19" spans="1:8" ht="18" customHeight="1" x14ac:dyDescent="0.2">
      <c r="A19" s="159" t="s">
        <v>11</v>
      </c>
      <c r="B19" s="162"/>
      <c r="C19" s="690"/>
      <c r="D19" s="703">
        <v>0</v>
      </c>
      <c r="E19" s="630"/>
      <c r="F19" s="161"/>
      <c r="G19" s="161"/>
    </row>
    <row r="20" spans="1:8" ht="18" customHeight="1" x14ac:dyDescent="0.2">
      <c r="A20" s="163"/>
      <c r="B20" s="163"/>
      <c r="C20" s="691"/>
      <c r="D20" s="631"/>
      <c r="E20" s="628"/>
      <c r="F20" s="925">
        <f>SUM(D8:D20)</f>
        <v>107500</v>
      </c>
      <c r="G20" s="925"/>
    </row>
    <row r="21" spans="1:8" ht="18" customHeight="1" x14ac:dyDescent="0.2">
      <c r="A21" s="159"/>
      <c r="B21" s="159"/>
      <c r="C21" s="692"/>
      <c r="D21" s="619"/>
      <c r="E21" s="619"/>
      <c r="F21" s="619"/>
      <c r="G21" s="619"/>
    </row>
    <row r="22" spans="1:8" ht="18" customHeight="1" x14ac:dyDescent="0.2">
      <c r="A22" s="159"/>
      <c r="B22" s="159"/>
      <c r="C22" s="692"/>
      <c r="D22" s="619"/>
      <c r="E22" s="619"/>
      <c r="F22" s="619"/>
      <c r="G22" s="619"/>
    </row>
    <row r="23" spans="1:8" ht="18" customHeight="1" x14ac:dyDescent="0.2">
      <c r="A23" s="616" t="s">
        <v>12</v>
      </c>
      <c r="B23" s="158"/>
      <c r="C23" s="688"/>
      <c r="D23" s="617"/>
      <c r="E23" s="617"/>
      <c r="F23" s="617"/>
      <c r="G23" s="617"/>
    </row>
    <row r="24" spans="1:8" ht="18" customHeight="1" x14ac:dyDescent="0.2">
      <c r="A24" s="159"/>
      <c r="B24" s="160"/>
      <c r="C24" s="689"/>
      <c r="D24" s="618"/>
      <c r="E24" s="618"/>
      <c r="F24" s="618"/>
      <c r="G24" s="618"/>
    </row>
    <row r="25" spans="1:8" ht="18" customHeight="1" x14ac:dyDescent="0.2">
      <c r="A25" s="159" t="s">
        <v>13</v>
      </c>
      <c r="B25" s="159"/>
      <c r="C25" s="692"/>
      <c r="D25" s="703">
        <v>0</v>
      </c>
      <c r="E25" s="632"/>
      <c r="F25" s="619"/>
      <c r="G25" s="619"/>
    </row>
    <row r="26" spans="1:8" ht="18" customHeight="1" x14ac:dyDescent="0.2">
      <c r="A26" s="159" t="s">
        <v>14</v>
      </c>
      <c r="B26" s="159"/>
      <c r="C26" s="692"/>
      <c r="D26" s="703">
        <v>0</v>
      </c>
      <c r="E26" s="632"/>
      <c r="F26" s="619"/>
      <c r="G26" s="619"/>
    </row>
    <row r="27" spans="1:8" ht="18" customHeight="1" x14ac:dyDescent="0.2">
      <c r="A27" s="159" t="s">
        <v>15</v>
      </c>
      <c r="B27" s="159"/>
      <c r="C27" s="692"/>
      <c r="D27" s="703">
        <v>10000</v>
      </c>
      <c r="E27" s="632"/>
      <c r="F27" s="619"/>
      <c r="G27" s="619"/>
    </row>
    <row r="28" spans="1:8" ht="18" customHeight="1" x14ac:dyDescent="0.2">
      <c r="A28" s="159" t="s">
        <v>16</v>
      </c>
      <c r="B28" s="159"/>
      <c r="C28" s="692"/>
      <c r="D28" s="703">
        <v>10000</v>
      </c>
      <c r="E28" s="632"/>
      <c r="F28" s="619"/>
      <c r="G28" s="619"/>
    </row>
    <row r="29" spans="1:8" ht="18" customHeight="1" x14ac:dyDescent="0.2">
      <c r="A29" s="159" t="s">
        <v>17</v>
      </c>
      <c r="B29" s="159"/>
      <c r="C29" s="692"/>
      <c r="D29" s="703">
        <v>12500</v>
      </c>
      <c r="E29" s="632"/>
      <c r="F29" s="619"/>
      <c r="G29" s="619"/>
    </row>
    <row r="30" spans="1:8" ht="18" customHeight="1" x14ac:dyDescent="0.2">
      <c r="A30" s="705" t="s">
        <v>10</v>
      </c>
      <c r="B30" s="159"/>
      <c r="C30" s="619"/>
      <c r="D30" s="703">
        <v>0</v>
      </c>
      <c r="E30" s="632"/>
      <c r="F30" s="619"/>
      <c r="G30" s="619"/>
    </row>
    <row r="31" spans="1:8" ht="18" customHeight="1" x14ac:dyDescent="0.2">
      <c r="A31" s="706" t="s">
        <v>10</v>
      </c>
      <c r="B31" s="162"/>
      <c r="C31" s="682"/>
      <c r="D31" s="704">
        <v>0</v>
      </c>
      <c r="E31" s="632"/>
      <c r="F31" s="664"/>
      <c r="G31" s="683"/>
    </row>
    <row r="32" spans="1:8" ht="18" customHeight="1" x14ac:dyDescent="0.25">
      <c r="A32" s="357"/>
      <c r="B32" s="163"/>
      <c r="C32" s="620"/>
      <c r="D32" s="631"/>
      <c r="E32" s="633"/>
      <c r="F32" s="926">
        <f>SUM(D25:D31)</f>
        <v>32500</v>
      </c>
      <c r="G32" s="926"/>
      <c r="H32" s="683"/>
    </row>
    <row r="33" spans="1:7" ht="18" customHeight="1" x14ac:dyDescent="0.2">
      <c r="A33" s="159"/>
      <c r="B33" s="159"/>
      <c r="C33" s="619"/>
      <c r="D33" s="619"/>
      <c r="E33" s="619"/>
      <c r="F33" s="619"/>
      <c r="G33" s="619"/>
    </row>
    <row r="34" spans="1:7" ht="18" customHeight="1" x14ac:dyDescent="0.25">
      <c r="A34" s="247" t="s">
        <v>18</v>
      </c>
      <c r="B34" s="166"/>
      <c r="C34" s="621"/>
      <c r="D34" s="621"/>
      <c r="E34" s="621"/>
      <c r="F34" s="920">
        <f>SUM(F20+F32)</f>
        <v>140000</v>
      </c>
      <c r="G34" s="921"/>
    </row>
    <row r="35" spans="1:7" ht="18" customHeight="1" x14ac:dyDescent="0.2">
      <c r="A35" s="1"/>
      <c r="B35" s="2"/>
      <c r="C35" s="3"/>
      <c r="D35" s="3"/>
      <c r="E35" s="3"/>
      <c r="F35" s="3"/>
      <c r="G35" s="3"/>
    </row>
  </sheetData>
  <sheetProtection password="C12A" sheet="1" objects="1" scenarios="1" selectLockedCells="1"/>
  <mergeCells count="6">
    <mergeCell ref="F34:G34"/>
    <mergeCell ref="A1:G2"/>
    <mergeCell ref="D4:E4"/>
    <mergeCell ref="F4:G4"/>
    <mergeCell ref="F20:G20"/>
    <mergeCell ref="F32:G32"/>
  </mergeCells>
  <pageMargins left="0.70866141732283472" right="0.70866141732283472" top="0.78740157480314965" bottom="0.78740157480314965" header="0.31496062992125984" footer="0.31496062992125984"/>
  <pageSetup paperSize="9" scale="7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AS45"/>
  <sheetViews>
    <sheetView zoomScaleNormal="100" zoomScaleSheetLayoutView="90" workbookViewId="0">
      <selection activeCell="D8" sqref="D8"/>
    </sheetView>
  </sheetViews>
  <sheetFormatPr baseColWidth="10" defaultRowHeight="14.25" x14ac:dyDescent="0.2"/>
  <cols>
    <col min="1" max="1" width="24" customWidth="1"/>
    <col min="2" max="2" width="14" customWidth="1"/>
    <col min="3" max="3" width="13.5" customWidth="1"/>
    <col min="4" max="4" width="10.125" customWidth="1"/>
    <col min="5" max="5" width="9.125" customWidth="1"/>
    <col min="6" max="6" width="8.5" customWidth="1"/>
    <col min="7" max="7" width="7.625" customWidth="1"/>
    <col min="8" max="8" width="8.375" customWidth="1"/>
    <col min="9" max="9" width="7.875" customWidth="1"/>
  </cols>
  <sheetData>
    <row r="1" spans="1:45" x14ac:dyDescent="0.2">
      <c r="A1" s="927" t="s">
        <v>20</v>
      </c>
      <c r="B1" s="927"/>
      <c r="C1" s="927"/>
      <c r="D1" s="927"/>
      <c r="E1" s="927"/>
      <c r="F1" s="927"/>
      <c r="G1" s="927"/>
      <c r="H1" s="927"/>
      <c r="I1" s="927"/>
      <c r="J1" s="68"/>
      <c r="K1" s="68"/>
      <c r="L1" s="68"/>
      <c r="M1" s="68"/>
      <c r="N1" s="68"/>
      <c r="O1" s="68"/>
      <c r="P1" s="68"/>
      <c r="Q1" s="68"/>
      <c r="R1" s="68"/>
      <c r="S1" s="68"/>
      <c r="T1" s="68"/>
      <c r="U1" s="68"/>
      <c r="V1" s="68"/>
      <c r="W1" s="68"/>
      <c r="X1" s="68"/>
      <c r="Y1" s="68"/>
      <c r="Z1" s="68"/>
      <c r="AA1" s="68"/>
      <c r="AB1" s="68"/>
      <c r="AC1" s="68"/>
      <c r="AD1" s="68"/>
      <c r="AE1" s="68"/>
      <c r="AF1" s="68"/>
      <c r="AG1" s="68"/>
      <c r="AH1" s="68"/>
      <c r="AI1" s="68"/>
      <c r="AJ1" s="68"/>
      <c r="AK1" s="68"/>
      <c r="AL1" s="68"/>
      <c r="AM1" s="68"/>
      <c r="AN1" s="68"/>
      <c r="AO1" s="68"/>
      <c r="AP1" s="68"/>
      <c r="AQ1" s="68"/>
      <c r="AR1" s="68"/>
      <c r="AS1" s="68"/>
    </row>
    <row r="2" spans="1:45" x14ac:dyDescent="0.2">
      <c r="A2" s="927"/>
      <c r="B2" s="927"/>
      <c r="C2" s="927"/>
      <c r="D2" s="927"/>
      <c r="E2" s="927"/>
      <c r="F2" s="927"/>
      <c r="G2" s="927"/>
      <c r="H2" s="927"/>
      <c r="I2" s="927"/>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row>
    <row r="3" spans="1:45" x14ac:dyDescent="0.2">
      <c r="A3" s="4"/>
      <c r="B3" s="4"/>
      <c r="C3" s="4"/>
      <c r="D3" s="4"/>
      <c r="E3" s="4"/>
      <c r="F3" s="4"/>
      <c r="G3" s="4"/>
      <c r="H3" s="4"/>
      <c r="I3" s="4"/>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row>
    <row r="4" spans="1:45" x14ac:dyDescent="0.2">
      <c r="A4" s="928" t="s">
        <v>21</v>
      </c>
      <c r="B4" s="928" t="s">
        <v>22</v>
      </c>
      <c r="C4" s="928" t="s">
        <v>23</v>
      </c>
      <c r="D4" s="928" t="s">
        <v>24</v>
      </c>
      <c r="E4" s="928" t="s">
        <v>25</v>
      </c>
      <c r="F4" s="928" t="s">
        <v>26</v>
      </c>
      <c r="G4" s="928" t="s">
        <v>337</v>
      </c>
      <c r="H4" s="928" t="s">
        <v>338</v>
      </c>
      <c r="I4" s="928" t="s">
        <v>331</v>
      </c>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row>
    <row r="5" spans="1:45" x14ac:dyDescent="0.2">
      <c r="A5" s="929"/>
      <c r="B5" s="930"/>
      <c r="C5" s="930"/>
      <c r="D5" s="930"/>
      <c r="E5" s="929"/>
      <c r="F5" s="929"/>
      <c r="G5" s="930"/>
      <c r="H5" s="930"/>
      <c r="I5" s="929"/>
      <c r="J5" s="68"/>
      <c r="K5" s="68"/>
      <c r="L5" s="68"/>
      <c r="M5" s="68"/>
      <c r="N5" s="68"/>
      <c r="O5" s="68"/>
      <c r="P5" s="68"/>
      <c r="Q5" s="68"/>
      <c r="R5" s="68"/>
      <c r="S5" s="68"/>
      <c r="T5" s="68"/>
      <c r="U5" s="68"/>
      <c r="V5" s="68"/>
      <c r="W5" s="68"/>
      <c r="X5" s="68"/>
      <c r="Y5" s="68"/>
      <c r="Z5" s="68"/>
      <c r="AA5" s="68"/>
      <c r="AB5" s="68"/>
      <c r="AC5" s="68"/>
      <c r="AD5" s="68"/>
      <c r="AE5" s="68"/>
      <c r="AF5" s="68"/>
      <c r="AG5" s="68"/>
      <c r="AH5" s="68"/>
      <c r="AI5" s="68"/>
      <c r="AJ5" s="68"/>
      <c r="AK5" s="68"/>
      <c r="AL5" s="68"/>
      <c r="AM5" s="68"/>
      <c r="AN5" s="68"/>
      <c r="AO5" s="68"/>
      <c r="AP5" s="68"/>
      <c r="AQ5" s="68"/>
      <c r="AR5" s="68"/>
      <c r="AS5" s="68"/>
    </row>
    <row r="6" spans="1:45" ht="15" x14ac:dyDescent="0.2">
      <c r="A6" s="168"/>
      <c r="B6" s="119"/>
      <c r="C6" s="119"/>
      <c r="D6" s="169"/>
      <c r="E6" s="168" t="s">
        <v>27</v>
      </c>
      <c r="F6" s="168"/>
      <c r="G6" s="168"/>
      <c r="H6" s="168"/>
      <c r="I6" s="1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c r="AN6" s="68"/>
      <c r="AO6" s="68"/>
      <c r="AP6" s="68"/>
      <c r="AQ6" s="68"/>
      <c r="AR6" s="68"/>
      <c r="AS6" s="68"/>
    </row>
    <row r="7" spans="1:45" ht="15" x14ac:dyDescent="0.2">
      <c r="A7" s="170"/>
      <c r="B7" s="171" t="s">
        <v>19</v>
      </c>
      <c r="C7" s="171"/>
      <c r="D7" s="171" t="s">
        <v>35</v>
      </c>
      <c r="E7" s="171" t="s">
        <v>35</v>
      </c>
      <c r="F7" s="171" t="s">
        <v>36</v>
      </c>
      <c r="G7" s="171" t="s">
        <v>36</v>
      </c>
      <c r="H7" s="171" t="s">
        <v>36</v>
      </c>
      <c r="I7" s="171" t="s">
        <v>35</v>
      </c>
      <c r="J7" s="68"/>
      <c r="K7" s="68"/>
      <c r="L7" s="68"/>
      <c r="M7" s="68"/>
      <c r="N7" s="68"/>
      <c r="O7" s="68"/>
      <c r="P7" s="68"/>
      <c r="Q7" s="68"/>
      <c r="R7" s="68"/>
      <c r="S7" s="68"/>
      <c r="T7" s="68"/>
      <c r="U7" s="68"/>
      <c r="V7" s="68"/>
      <c r="W7" s="68"/>
      <c r="X7" s="68"/>
      <c r="Y7" s="68"/>
      <c r="Z7" s="68"/>
      <c r="AA7" s="68"/>
      <c r="AB7" s="68"/>
      <c r="AC7" s="68"/>
      <c r="AD7" s="68"/>
      <c r="AE7" s="68"/>
      <c r="AF7" s="68"/>
      <c r="AG7" s="68"/>
      <c r="AH7" s="68"/>
      <c r="AI7" s="68"/>
      <c r="AJ7" s="68"/>
      <c r="AK7" s="68"/>
      <c r="AL7" s="68"/>
      <c r="AM7" s="68"/>
      <c r="AN7" s="68"/>
      <c r="AO7" s="68"/>
      <c r="AP7" s="68"/>
      <c r="AQ7" s="68"/>
      <c r="AR7" s="68"/>
      <c r="AS7" s="68"/>
    </row>
    <row r="8" spans="1:45" ht="15" x14ac:dyDescent="0.2">
      <c r="A8" s="172"/>
      <c r="B8" s="173"/>
      <c r="C8" s="173"/>
      <c r="D8" s="693"/>
      <c r="E8" s="695"/>
      <c r="F8" s="174"/>
      <c r="G8" s="174"/>
      <c r="H8" s="174"/>
      <c r="I8" s="174"/>
      <c r="J8" s="68"/>
      <c r="K8" s="68"/>
      <c r="L8" s="68"/>
      <c r="M8" s="68"/>
      <c r="N8" s="68"/>
      <c r="O8" s="68"/>
      <c r="P8" s="68"/>
      <c r="Q8" s="68"/>
      <c r="R8" s="68"/>
      <c r="S8" s="68"/>
      <c r="T8" s="68"/>
      <c r="U8" s="68"/>
      <c r="V8" s="70" t="s">
        <v>62</v>
      </c>
      <c r="W8" s="71"/>
      <c r="X8" s="71"/>
      <c r="Y8" s="71">
        <f>Investitionsplan!F32</f>
        <v>32500</v>
      </c>
      <c r="Z8" s="72"/>
      <c r="AA8" s="73"/>
      <c r="AB8" s="68"/>
      <c r="AC8" s="68"/>
      <c r="AD8" s="68"/>
      <c r="AE8" s="68"/>
      <c r="AF8" s="68"/>
      <c r="AG8" s="68"/>
      <c r="AH8" s="68"/>
      <c r="AI8" s="68"/>
      <c r="AJ8" s="68"/>
      <c r="AK8" s="68"/>
      <c r="AL8" s="68"/>
      <c r="AM8" s="68"/>
      <c r="AN8" s="68"/>
      <c r="AO8" s="68"/>
      <c r="AP8" s="68"/>
      <c r="AQ8" s="68"/>
      <c r="AR8" s="68"/>
      <c r="AS8" s="68"/>
    </row>
    <row r="9" spans="1:45" ht="15" x14ac:dyDescent="0.2">
      <c r="A9" s="175" t="s">
        <v>28</v>
      </c>
      <c r="B9" s="708">
        <v>20000</v>
      </c>
      <c r="C9" s="176"/>
      <c r="D9" s="694"/>
      <c r="E9" s="696"/>
      <c r="F9" s="177"/>
      <c r="G9" s="177"/>
      <c r="H9" s="177"/>
      <c r="I9" s="613">
        <f>(B9*100)/Investitionsplan!F34</f>
        <v>14.285714285714286</v>
      </c>
      <c r="J9" s="68"/>
      <c r="K9" s="68"/>
      <c r="L9" s="68"/>
      <c r="M9" s="68"/>
      <c r="N9" s="68"/>
      <c r="O9" s="68"/>
      <c r="P9" s="68"/>
      <c r="Q9" s="68"/>
      <c r="R9" s="68"/>
      <c r="S9" s="68"/>
      <c r="T9" s="68"/>
      <c r="U9" s="68"/>
      <c r="V9" s="70" t="s">
        <v>63</v>
      </c>
      <c r="W9" s="71"/>
      <c r="X9" s="71"/>
      <c r="Y9" s="71">
        <f>Investitionsplan!F20</f>
        <v>107500</v>
      </c>
      <c r="Z9" s="72"/>
      <c r="AA9" s="73"/>
      <c r="AB9" s="68"/>
      <c r="AC9" s="68"/>
      <c r="AD9" s="68"/>
      <c r="AE9" s="68"/>
      <c r="AF9" s="68"/>
      <c r="AG9" s="68"/>
      <c r="AH9" s="68"/>
      <c r="AI9" s="68"/>
      <c r="AJ9" s="68"/>
      <c r="AK9" s="68"/>
      <c r="AL9" s="68"/>
      <c r="AM9" s="68"/>
      <c r="AN9" s="68"/>
      <c r="AO9" s="68"/>
      <c r="AP9" s="68"/>
      <c r="AQ9" s="68"/>
      <c r="AR9" s="68"/>
      <c r="AS9" s="68"/>
    </row>
    <row r="10" spans="1:45" ht="15" x14ac:dyDescent="0.2">
      <c r="A10" s="175" t="s">
        <v>417</v>
      </c>
      <c r="B10" s="708">
        <v>0</v>
      </c>
      <c r="C10" s="176">
        <f>Sicherheiten!C7</f>
        <v>0</v>
      </c>
      <c r="D10" s="709">
        <v>0.06</v>
      </c>
      <c r="E10" s="711">
        <v>0.96</v>
      </c>
      <c r="F10" s="715">
        <v>0</v>
      </c>
      <c r="G10" s="715">
        <v>2</v>
      </c>
      <c r="H10" s="715">
        <v>8</v>
      </c>
      <c r="I10" s="613">
        <f>(B10*100)/Investitionsplan!F34</f>
        <v>0</v>
      </c>
      <c r="J10" s="68"/>
      <c r="K10" s="68"/>
      <c r="L10" s="68"/>
      <c r="M10" s="68"/>
      <c r="N10" s="68"/>
      <c r="O10" s="68"/>
      <c r="P10" s="68"/>
      <c r="Q10" s="68"/>
      <c r="R10" s="68"/>
      <c r="S10" s="68"/>
      <c r="T10" s="68"/>
      <c r="U10" s="68"/>
      <c r="V10" s="74" t="s">
        <v>64</v>
      </c>
      <c r="W10" s="75"/>
      <c r="X10" s="76"/>
      <c r="Y10" s="71">
        <f>Investitionsplan!F34</f>
        <v>140000</v>
      </c>
      <c r="Z10" s="72"/>
      <c r="AA10" s="73"/>
      <c r="AB10" s="68"/>
      <c r="AC10" s="68"/>
      <c r="AD10" s="68"/>
      <c r="AE10" s="68"/>
      <c r="AF10" s="68"/>
      <c r="AG10" s="68"/>
      <c r="AH10" s="68"/>
      <c r="AI10" s="68"/>
      <c r="AJ10" s="68"/>
      <c r="AK10" s="68"/>
      <c r="AL10" s="68"/>
      <c r="AM10" s="68"/>
      <c r="AN10" s="68"/>
      <c r="AO10" s="68"/>
      <c r="AP10" s="68"/>
      <c r="AQ10" s="68"/>
      <c r="AR10" s="68"/>
      <c r="AS10" s="68"/>
    </row>
    <row r="11" spans="1:45" ht="15" x14ac:dyDescent="0.2">
      <c r="A11" s="172"/>
      <c r="B11" s="708"/>
      <c r="C11" s="176"/>
      <c r="D11" s="709"/>
      <c r="E11" s="711"/>
      <c r="F11" s="715"/>
      <c r="G11" s="715"/>
      <c r="H11" s="715"/>
      <c r="I11" s="613"/>
      <c r="J11" s="68"/>
      <c r="K11" s="68"/>
      <c r="L11" s="68"/>
      <c r="M11" s="68"/>
      <c r="N11" s="68"/>
      <c r="O11" s="68"/>
      <c r="P11" s="68"/>
      <c r="Q11" s="68"/>
      <c r="R11" s="68"/>
      <c r="S11" s="68"/>
      <c r="T11" s="68"/>
      <c r="U11" s="68"/>
      <c r="V11" s="72"/>
      <c r="W11" s="72"/>
      <c r="X11" s="72"/>
      <c r="Y11" s="72"/>
      <c r="Z11" s="72"/>
      <c r="AA11" s="73"/>
      <c r="AB11" s="68"/>
      <c r="AC11" s="68"/>
      <c r="AD11" s="68"/>
      <c r="AE11" s="68"/>
      <c r="AF11" s="68"/>
      <c r="AG11" s="68"/>
      <c r="AH11" s="68"/>
      <c r="AI11" s="68"/>
      <c r="AJ11" s="68"/>
      <c r="AK11" s="68"/>
      <c r="AL11" s="68"/>
      <c r="AM11" s="68"/>
      <c r="AN11" s="68"/>
      <c r="AO11" s="68"/>
      <c r="AP11" s="68"/>
      <c r="AQ11" s="68"/>
      <c r="AR11" s="68"/>
      <c r="AS11" s="68"/>
    </row>
    <row r="12" spans="1:45" ht="15" x14ac:dyDescent="0.2">
      <c r="A12" s="175" t="s">
        <v>335</v>
      </c>
      <c r="B12" s="708">
        <v>0</v>
      </c>
      <c r="C12" s="176">
        <f>Sicherheiten!C9</f>
        <v>0</v>
      </c>
      <c r="D12" s="709">
        <v>2.2700000000000001E-2</v>
      </c>
      <c r="E12" s="711">
        <v>1</v>
      </c>
      <c r="F12" s="715">
        <v>0</v>
      </c>
      <c r="G12" s="715">
        <f>IF(H12=8,2,IF(H12=1,14,IF(H12=17,3,"TJ=8,15 oder17")))</f>
        <v>2</v>
      </c>
      <c r="H12" s="715">
        <v>8</v>
      </c>
      <c r="I12" s="613">
        <f>(B12*100)/Investitionsplan!F34</f>
        <v>0</v>
      </c>
      <c r="J12" s="68"/>
      <c r="K12" s="68"/>
      <c r="L12" s="68"/>
      <c r="M12" s="68"/>
      <c r="N12" s="68"/>
      <c r="O12" s="68"/>
      <c r="P12" s="68"/>
      <c r="Q12" s="68"/>
      <c r="R12" s="68"/>
      <c r="S12" s="68"/>
      <c r="T12" s="68"/>
      <c r="U12" s="68"/>
      <c r="V12" s="77"/>
      <c r="W12" s="77"/>
      <c r="X12" s="77"/>
      <c r="Y12" s="78" t="s">
        <v>28</v>
      </c>
      <c r="Z12" s="77">
        <f>I9</f>
        <v>14.285714285714286</v>
      </c>
      <c r="AA12" s="73"/>
      <c r="AB12" s="68"/>
      <c r="AC12" s="68"/>
      <c r="AD12" s="68"/>
      <c r="AE12" s="68"/>
      <c r="AF12" s="68"/>
      <c r="AG12" s="68"/>
      <c r="AH12" s="68"/>
      <c r="AI12" s="68"/>
      <c r="AJ12" s="68"/>
      <c r="AK12" s="68"/>
      <c r="AL12" s="68"/>
      <c r="AM12" s="68"/>
      <c r="AN12" s="68"/>
      <c r="AO12" s="68"/>
      <c r="AP12" s="68"/>
      <c r="AQ12" s="68"/>
      <c r="AR12" s="68"/>
      <c r="AS12" s="68"/>
    </row>
    <row r="13" spans="1:45" ht="15" x14ac:dyDescent="0.2">
      <c r="A13" s="175" t="s">
        <v>42</v>
      </c>
      <c r="B13" s="708">
        <v>100000</v>
      </c>
      <c r="C13" s="176">
        <f>Sicherheiten!C10</f>
        <v>100000</v>
      </c>
      <c r="D13" s="709">
        <v>3.0200000000000001E-2</v>
      </c>
      <c r="E13" s="711">
        <v>1</v>
      </c>
      <c r="F13" s="715">
        <v>0</v>
      </c>
      <c r="G13" s="715">
        <f>O18</f>
        <v>2</v>
      </c>
      <c r="H13" s="715">
        <v>8</v>
      </c>
      <c r="I13" s="613">
        <f>(B13*100)/Investitionsplan!F34</f>
        <v>71.428571428571431</v>
      </c>
      <c r="J13" s="68"/>
      <c r="K13" s="10" t="s">
        <v>76</v>
      </c>
      <c r="L13" s="11"/>
      <c r="M13" s="7" t="s">
        <v>77</v>
      </c>
      <c r="N13" s="7" t="s">
        <v>78</v>
      </c>
      <c r="O13" s="7" t="s">
        <v>79</v>
      </c>
      <c r="P13" s="68"/>
      <c r="Q13" s="68"/>
      <c r="R13" s="68"/>
      <c r="S13" s="68"/>
      <c r="T13" s="68"/>
      <c r="U13" s="68"/>
      <c r="V13" s="70" t="s">
        <v>65</v>
      </c>
      <c r="W13" s="71">
        <f>I10*0.01*Investitionsplan!F34</f>
        <v>0</v>
      </c>
      <c r="X13" s="71"/>
      <c r="Y13" s="70" t="s">
        <v>66</v>
      </c>
      <c r="Z13" s="71">
        <f>I10</f>
        <v>0</v>
      </c>
      <c r="AA13" s="73"/>
      <c r="AB13" s="68"/>
      <c r="AC13" s="68"/>
      <c r="AD13" s="68"/>
      <c r="AE13" s="68"/>
      <c r="AF13" s="68"/>
      <c r="AG13" s="68"/>
      <c r="AH13" s="68"/>
      <c r="AI13" s="68"/>
      <c r="AJ13" s="68"/>
      <c r="AK13" s="68"/>
      <c r="AL13" s="68"/>
      <c r="AM13" s="68"/>
      <c r="AN13" s="68"/>
      <c r="AO13" s="68"/>
      <c r="AP13" s="68"/>
      <c r="AQ13" s="68"/>
      <c r="AR13" s="68"/>
      <c r="AS13" s="68"/>
    </row>
    <row r="14" spans="1:45" ht="15" x14ac:dyDescent="0.2">
      <c r="A14" s="172"/>
      <c r="B14" s="708"/>
      <c r="C14" s="176"/>
      <c r="D14" s="709"/>
      <c r="E14" s="712"/>
      <c r="F14" s="715"/>
      <c r="G14" s="715"/>
      <c r="H14" s="715"/>
      <c r="I14" s="613"/>
      <c r="J14" s="68"/>
      <c r="K14" s="12"/>
      <c r="L14" s="13"/>
      <c r="M14" s="8">
        <v>3.5499999999999997E-2</v>
      </c>
      <c r="N14" s="5">
        <v>6</v>
      </c>
      <c r="O14" s="5">
        <v>2</v>
      </c>
      <c r="P14" s="68"/>
      <c r="Q14" s="68"/>
      <c r="R14" s="68"/>
      <c r="S14" s="68"/>
      <c r="T14" s="68"/>
      <c r="U14" s="68"/>
      <c r="V14" s="71"/>
      <c r="W14" s="71"/>
      <c r="X14" s="71"/>
      <c r="Y14" s="70" t="s">
        <v>67</v>
      </c>
      <c r="Z14" s="71">
        <f>I12</f>
        <v>0</v>
      </c>
      <c r="AA14" s="73"/>
      <c r="AB14" s="68"/>
      <c r="AC14" s="68"/>
      <c r="AD14" s="68"/>
      <c r="AE14" s="68"/>
      <c r="AF14" s="68"/>
      <c r="AG14" s="68"/>
      <c r="AH14" s="68"/>
      <c r="AI14" s="68"/>
      <c r="AJ14" s="68"/>
      <c r="AK14" s="68"/>
      <c r="AL14" s="68"/>
      <c r="AM14" s="68"/>
      <c r="AN14" s="68"/>
      <c r="AO14" s="68"/>
      <c r="AP14" s="68"/>
      <c r="AQ14" s="68"/>
      <c r="AR14" s="68"/>
      <c r="AS14" s="68"/>
    </row>
    <row r="15" spans="1:45" ht="15" x14ac:dyDescent="0.2">
      <c r="A15" s="175" t="s">
        <v>30</v>
      </c>
      <c r="B15" s="708">
        <v>0</v>
      </c>
      <c r="C15" s="176">
        <f>Sicherheiten!C12</f>
        <v>0</v>
      </c>
      <c r="D15" s="709">
        <v>2.58E-2</v>
      </c>
      <c r="E15" s="711">
        <v>1</v>
      </c>
      <c r="F15" s="715">
        <v>0</v>
      </c>
      <c r="G15" s="715">
        <f>IF(H15=1,4,IF(H15=5,1,"Laufzeit ??"))</f>
        <v>1</v>
      </c>
      <c r="H15" s="715">
        <v>5</v>
      </c>
      <c r="I15" s="613">
        <f>(B15*100)/Investitionsplan!F34</f>
        <v>0</v>
      </c>
      <c r="J15" s="68"/>
      <c r="K15" s="14" t="s">
        <v>80</v>
      </c>
      <c r="L15" s="15"/>
      <c r="M15" s="8">
        <v>3.6999999999999998E-2</v>
      </c>
      <c r="N15" s="5">
        <v>8</v>
      </c>
      <c r="O15" s="5">
        <v>2</v>
      </c>
      <c r="P15" s="68"/>
      <c r="Q15" s="68"/>
      <c r="R15" s="68"/>
      <c r="S15" s="68"/>
      <c r="T15" s="68"/>
      <c r="U15" s="68"/>
      <c r="V15" s="70" t="s">
        <v>68</v>
      </c>
      <c r="W15" s="71">
        <f>I12*0.01*Investitionsplan!F34</f>
        <v>0</v>
      </c>
      <c r="X15" s="71"/>
      <c r="Y15" s="70" t="s">
        <v>69</v>
      </c>
      <c r="Z15" s="71">
        <f>I13</f>
        <v>71.428571428571431</v>
      </c>
      <c r="AA15" s="73"/>
      <c r="AB15" s="68"/>
      <c r="AC15" s="68"/>
      <c r="AD15" s="68"/>
      <c r="AE15" s="68"/>
      <c r="AF15" s="68"/>
      <c r="AG15" s="68"/>
      <c r="AH15" s="68"/>
      <c r="AI15" s="68"/>
      <c r="AJ15" s="68"/>
      <c r="AK15" s="68"/>
      <c r="AL15" s="68"/>
      <c r="AM15" s="68"/>
      <c r="AN15" s="68"/>
      <c r="AO15" s="68"/>
      <c r="AP15" s="68"/>
      <c r="AQ15" s="68"/>
      <c r="AR15" s="68"/>
      <c r="AS15" s="68"/>
    </row>
    <row r="16" spans="1:45" ht="15" x14ac:dyDescent="0.2">
      <c r="A16" s="175" t="s">
        <v>31</v>
      </c>
      <c r="B16" s="708">
        <v>0</v>
      </c>
      <c r="C16" s="176">
        <f>Sicherheiten!C13</f>
        <v>0</v>
      </c>
      <c r="D16" s="709">
        <v>2.9499999999999998E-2</v>
      </c>
      <c r="E16" s="711">
        <v>1</v>
      </c>
      <c r="F16" s="715">
        <v>0</v>
      </c>
      <c r="G16" s="715">
        <f>O22</f>
        <v>2</v>
      </c>
      <c r="H16" s="715">
        <f>N22</f>
        <v>8</v>
      </c>
      <c r="I16" s="613">
        <f>(B16*100)/Investitionsplan!F34</f>
        <v>0</v>
      </c>
      <c r="J16" s="68"/>
      <c r="K16" s="14"/>
      <c r="L16" s="15"/>
      <c r="M16" s="8">
        <v>0.04</v>
      </c>
      <c r="N16" s="5">
        <v>17</v>
      </c>
      <c r="O16" s="5">
        <v>3</v>
      </c>
      <c r="P16" s="68"/>
      <c r="Q16" s="68"/>
      <c r="R16" s="68"/>
      <c r="S16" s="68"/>
      <c r="T16" s="68"/>
      <c r="U16" s="68"/>
      <c r="V16" s="70" t="s">
        <v>70</v>
      </c>
      <c r="W16" s="71">
        <f>I13*0.01*Investitionsplan!F34</f>
        <v>100000</v>
      </c>
      <c r="X16" s="71"/>
      <c r="Y16" s="70" t="s">
        <v>71</v>
      </c>
      <c r="Z16" s="71">
        <f>I15</f>
        <v>0</v>
      </c>
      <c r="AA16" s="73"/>
      <c r="AB16" s="68"/>
      <c r="AC16" s="68"/>
      <c r="AD16" s="68"/>
      <c r="AE16" s="68"/>
      <c r="AF16" s="68"/>
      <c r="AG16" s="68"/>
      <c r="AH16" s="68"/>
      <c r="AI16" s="68"/>
      <c r="AJ16" s="68"/>
      <c r="AK16" s="68"/>
      <c r="AL16" s="68"/>
      <c r="AM16" s="68"/>
      <c r="AN16" s="68"/>
      <c r="AO16" s="68"/>
      <c r="AP16" s="68"/>
      <c r="AQ16" s="68"/>
      <c r="AR16" s="68"/>
      <c r="AS16" s="68"/>
    </row>
    <row r="17" spans="1:45" ht="15" x14ac:dyDescent="0.2">
      <c r="A17" s="175" t="s">
        <v>32</v>
      </c>
      <c r="B17" s="708">
        <v>0</v>
      </c>
      <c r="C17" s="176">
        <f>Sicherheiten!C14</f>
        <v>0</v>
      </c>
      <c r="D17" s="709">
        <v>0.06</v>
      </c>
      <c r="E17" s="711">
        <v>1</v>
      </c>
      <c r="F17" s="715">
        <v>0</v>
      </c>
      <c r="G17" s="715">
        <v>1</v>
      </c>
      <c r="H17" s="715">
        <v>9</v>
      </c>
      <c r="I17" s="613">
        <f>(B17*100)/Investitionsplan!F34</f>
        <v>0</v>
      </c>
      <c r="J17" s="68"/>
      <c r="K17" s="14"/>
      <c r="L17" s="16"/>
      <c r="M17" s="8">
        <v>4.4499999999999998E-2</v>
      </c>
      <c r="N17" s="5">
        <v>0</v>
      </c>
      <c r="O17" s="5">
        <v>12</v>
      </c>
      <c r="P17" s="79"/>
      <c r="Q17" s="79"/>
      <c r="R17" s="79"/>
      <c r="S17" s="79"/>
      <c r="T17" s="79"/>
      <c r="U17" s="69"/>
      <c r="V17" s="70"/>
      <c r="W17" s="71"/>
      <c r="X17" s="71"/>
      <c r="Y17" s="70"/>
      <c r="Z17" s="71"/>
      <c r="AA17" s="73"/>
      <c r="AB17" s="69"/>
      <c r="AC17" s="69"/>
      <c r="AD17" s="69"/>
      <c r="AE17" s="69"/>
      <c r="AF17" s="69"/>
      <c r="AG17" s="69"/>
      <c r="AH17" s="69"/>
      <c r="AI17" s="69"/>
      <c r="AJ17" s="69"/>
      <c r="AK17" s="69"/>
      <c r="AL17" s="69"/>
      <c r="AM17" s="69"/>
      <c r="AN17" s="69"/>
      <c r="AO17" s="69"/>
      <c r="AP17" s="69"/>
      <c r="AQ17" s="69"/>
      <c r="AR17" s="69"/>
      <c r="AS17" s="68"/>
    </row>
    <row r="18" spans="1:45" ht="15" x14ac:dyDescent="0.2">
      <c r="A18" s="175" t="s">
        <v>33</v>
      </c>
      <c r="B18" s="708">
        <v>20000</v>
      </c>
      <c r="C18" s="176">
        <f>Sicherheiten!C15</f>
        <v>20000</v>
      </c>
      <c r="D18" s="709">
        <v>0.05</v>
      </c>
      <c r="E18" s="713">
        <v>1</v>
      </c>
      <c r="F18" s="716">
        <v>0.08</v>
      </c>
      <c r="G18" s="178" t="s">
        <v>43</v>
      </c>
      <c r="H18" s="179">
        <f>Laufzeit</f>
        <v>9.9509363013351066</v>
      </c>
      <c r="I18" s="613">
        <f>100-I9-I10-I12-I13-I15-I16-I17-I19</f>
        <v>14.285714285714278</v>
      </c>
      <c r="J18" s="68"/>
      <c r="K18" s="19" t="s">
        <v>81</v>
      </c>
      <c r="L18" s="9"/>
      <c r="M18" s="8">
        <v>3.5000000000000003E-2</v>
      </c>
      <c r="N18" s="5">
        <v>6</v>
      </c>
      <c r="O18" s="5">
        <v>2</v>
      </c>
      <c r="P18" s="68"/>
      <c r="Q18" s="68"/>
      <c r="R18" s="68"/>
      <c r="S18" s="68"/>
      <c r="T18" s="68"/>
      <c r="U18" s="68"/>
      <c r="V18" s="71" t="s">
        <v>72</v>
      </c>
      <c r="W18" s="71">
        <f>I16*Investitionsplan!F34*0.01</f>
        <v>0</v>
      </c>
      <c r="X18" s="71"/>
      <c r="Y18" s="70" t="s">
        <v>73</v>
      </c>
      <c r="Z18" s="71">
        <f>I19</f>
        <v>0</v>
      </c>
      <c r="AA18" s="73"/>
      <c r="AB18" s="68"/>
      <c r="AC18" s="68"/>
      <c r="AD18" s="68"/>
      <c r="AE18" s="68"/>
      <c r="AF18" s="68"/>
      <c r="AG18" s="68"/>
      <c r="AH18" s="68"/>
      <c r="AI18" s="68"/>
      <c r="AJ18" s="68"/>
      <c r="AK18" s="68"/>
      <c r="AL18" s="68"/>
      <c r="AM18" s="68"/>
      <c r="AN18" s="68"/>
      <c r="AO18" s="68"/>
      <c r="AP18" s="68"/>
      <c r="AQ18" s="68"/>
      <c r="AR18" s="68"/>
      <c r="AS18" s="68"/>
    </row>
    <row r="19" spans="1:45" ht="15" x14ac:dyDescent="0.2">
      <c r="A19" s="180" t="s">
        <v>34</v>
      </c>
      <c r="B19" s="707">
        <f>B21-SUM(B9:B18)</f>
        <v>0</v>
      </c>
      <c r="C19" s="181"/>
      <c r="D19" s="710">
        <v>0.1</v>
      </c>
      <c r="E19" s="714">
        <v>1</v>
      </c>
      <c r="F19" s="677">
        <v>0</v>
      </c>
      <c r="G19" s="678">
        <v>11</v>
      </c>
      <c r="H19" s="679">
        <v>1</v>
      </c>
      <c r="I19" s="182">
        <f>(B19*100)/Investitionsplan!F34</f>
        <v>0</v>
      </c>
      <c r="J19" s="68"/>
      <c r="K19" s="933" t="s">
        <v>83</v>
      </c>
      <c r="L19" s="21"/>
      <c r="M19" s="8">
        <v>5.7500000000000002E-2</v>
      </c>
      <c r="N19" s="5">
        <v>5</v>
      </c>
      <c r="O19" s="5">
        <v>1</v>
      </c>
      <c r="P19" s="68"/>
      <c r="Q19" s="68"/>
      <c r="R19" s="68"/>
      <c r="S19" s="68"/>
      <c r="T19" s="68"/>
      <c r="U19" s="68"/>
      <c r="V19" s="71" t="s">
        <v>74</v>
      </c>
      <c r="W19" s="71">
        <f>I17*Investitionsplan!F34*0.01</f>
        <v>0</v>
      </c>
      <c r="X19" s="71"/>
      <c r="Y19" s="70"/>
      <c r="Z19" s="71"/>
      <c r="AA19" s="73"/>
      <c r="AB19" s="68"/>
      <c r="AC19" s="68"/>
      <c r="AD19" s="68"/>
      <c r="AE19" s="68"/>
      <c r="AF19" s="68"/>
      <c r="AG19" s="68"/>
      <c r="AH19" s="68"/>
      <c r="AI19" s="68"/>
      <c r="AJ19" s="68"/>
      <c r="AK19" s="68"/>
      <c r="AL19" s="68"/>
      <c r="AM19" s="68"/>
      <c r="AN19" s="68"/>
      <c r="AO19" s="68"/>
      <c r="AP19" s="68"/>
      <c r="AQ19" s="68"/>
      <c r="AR19" s="68"/>
      <c r="AS19" s="68"/>
    </row>
    <row r="20" spans="1:45" ht="15" x14ac:dyDescent="0.2">
      <c r="A20" s="112"/>
      <c r="B20" s="112"/>
      <c r="C20" s="112"/>
      <c r="D20" s="112"/>
      <c r="E20" s="112"/>
      <c r="F20" s="112"/>
      <c r="G20" s="112"/>
      <c r="H20" s="112"/>
      <c r="I20" s="112"/>
      <c r="J20" s="68"/>
      <c r="K20" s="934"/>
      <c r="L20" s="22"/>
      <c r="M20" s="8">
        <v>0.06</v>
      </c>
      <c r="N20" s="5">
        <v>0</v>
      </c>
      <c r="O20" s="5">
        <v>5</v>
      </c>
      <c r="P20" s="68"/>
      <c r="Q20" s="68"/>
      <c r="R20" s="68"/>
      <c r="S20" s="68"/>
      <c r="T20" s="68"/>
      <c r="U20" s="68"/>
      <c r="V20" s="78" t="s">
        <v>74</v>
      </c>
      <c r="W20" s="77">
        <f>I15*Investitionsplan!F34*0.01</f>
        <v>0</v>
      </c>
      <c r="X20" s="77"/>
      <c r="Y20" s="77"/>
      <c r="Z20" s="77"/>
      <c r="AA20" s="73"/>
      <c r="AB20" s="68"/>
      <c r="AC20" s="68"/>
      <c r="AD20" s="68"/>
      <c r="AE20" s="68"/>
      <c r="AF20" s="68"/>
      <c r="AG20" s="68"/>
      <c r="AH20" s="68"/>
      <c r="AI20" s="68"/>
      <c r="AJ20" s="68"/>
      <c r="AK20" s="68"/>
      <c r="AL20" s="68"/>
      <c r="AM20" s="68"/>
      <c r="AN20" s="68"/>
      <c r="AO20" s="68"/>
      <c r="AP20" s="68"/>
      <c r="AQ20" s="68"/>
      <c r="AR20" s="68"/>
      <c r="AS20" s="68"/>
    </row>
    <row r="21" spans="1:45" ht="15.75" x14ac:dyDescent="0.25">
      <c r="A21" s="183" t="s">
        <v>37</v>
      </c>
      <c r="B21" s="184">
        <f>Investitionsplan!F34</f>
        <v>140000</v>
      </c>
      <c r="C21" s="185" t="s">
        <v>38</v>
      </c>
      <c r="D21" s="167"/>
      <c r="E21" s="167"/>
      <c r="F21" s="167"/>
      <c r="G21" s="167"/>
      <c r="H21" s="167"/>
      <c r="I21" s="186"/>
      <c r="J21" s="68"/>
      <c r="K21" s="17"/>
      <c r="L21" s="18"/>
      <c r="M21" s="9"/>
      <c r="N21" s="5"/>
      <c r="O21" s="5"/>
      <c r="P21" s="68"/>
      <c r="Q21" s="68"/>
      <c r="R21" s="68"/>
      <c r="S21" s="68"/>
      <c r="T21" s="68"/>
      <c r="U21" s="68"/>
      <c r="V21" s="78"/>
      <c r="W21" s="77"/>
      <c r="X21" s="77"/>
      <c r="Y21" s="77"/>
      <c r="Z21" s="77"/>
      <c r="AA21" s="73"/>
      <c r="AB21" s="68"/>
      <c r="AC21" s="68"/>
      <c r="AD21" s="68"/>
      <c r="AE21" s="68"/>
      <c r="AF21" s="68"/>
      <c r="AG21" s="68"/>
      <c r="AH21" s="68"/>
      <c r="AI21" s="68"/>
      <c r="AJ21" s="68"/>
      <c r="AK21" s="68"/>
      <c r="AL21" s="68"/>
      <c r="AM21" s="68"/>
      <c r="AN21" s="68"/>
      <c r="AO21" s="68"/>
      <c r="AP21" s="68"/>
      <c r="AQ21" s="68"/>
      <c r="AR21" s="68"/>
      <c r="AS21" s="68"/>
    </row>
    <row r="22" spans="1:45" ht="15" x14ac:dyDescent="0.2">
      <c r="A22" s="112"/>
      <c r="B22" s="112"/>
      <c r="C22" s="112"/>
      <c r="D22" s="112"/>
      <c r="E22" s="112"/>
      <c r="F22" s="112"/>
      <c r="G22" s="112"/>
      <c r="H22" s="112"/>
      <c r="I22" s="112"/>
      <c r="J22" s="68"/>
      <c r="K22" s="19" t="s">
        <v>82</v>
      </c>
      <c r="L22" s="20"/>
      <c r="M22" s="8">
        <v>3.5000000000000003E-2</v>
      </c>
      <c r="N22" s="5">
        <v>8</v>
      </c>
      <c r="O22" s="5">
        <v>2</v>
      </c>
      <c r="P22" s="68"/>
      <c r="Q22" s="68"/>
      <c r="R22" s="68"/>
      <c r="S22" s="68"/>
      <c r="T22" s="68"/>
      <c r="U22" s="68"/>
      <c r="V22" s="80" t="s">
        <v>75</v>
      </c>
      <c r="W22" s="80">
        <f>B19/2</f>
        <v>0</v>
      </c>
      <c r="X22" s="80"/>
      <c r="Y22" s="80"/>
      <c r="Z22" s="80"/>
      <c r="AA22" s="69"/>
      <c r="AB22" s="68"/>
      <c r="AC22" s="68"/>
      <c r="AD22" s="68"/>
      <c r="AE22" s="68"/>
      <c r="AF22" s="68"/>
      <c r="AG22" s="68"/>
      <c r="AH22" s="68"/>
      <c r="AI22" s="68"/>
      <c r="AJ22" s="68"/>
      <c r="AK22" s="68"/>
      <c r="AL22" s="68"/>
      <c r="AM22" s="68"/>
      <c r="AN22" s="68"/>
      <c r="AO22" s="68"/>
      <c r="AP22" s="68"/>
      <c r="AQ22" s="68"/>
      <c r="AR22" s="68"/>
      <c r="AS22" s="68"/>
    </row>
    <row r="23" spans="1:45" ht="15.75" x14ac:dyDescent="0.2">
      <c r="A23" s="187"/>
      <c r="B23" s="159"/>
      <c r="C23" s="159"/>
      <c r="D23" s="159"/>
      <c r="E23" s="159"/>
      <c r="F23" s="159"/>
      <c r="G23" s="159"/>
      <c r="H23" s="188"/>
      <c r="I23" s="188"/>
      <c r="J23" s="68"/>
      <c r="K23" s="6"/>
      <c r="L23" s="6"/>
      <c r="M23" s="6"/>
      <c r="N23" s="6"/>
      <c r="O23" s="6"/>
      <c r="P23" s="68"/>
      <c r="Q23" s="68"/>
      <c r="R23" s="68"/>
      <c r="S23" s="68"/>
      <c r="T23" s="68"/>
      <c r="U23" s="68"/>
      <c r="V23" s="73"/>
      <c r="W23" s="81"/>
      <c r="X23" s="69"/>
      <c r="Y23" s="68"/>
      <c r="Z23" s="68"/>
      <c r="AA23" s="68"/>
      <c r="AB23" s="68"/>
      <c r="AC23" s="68"/>
      <c r="AD23" s="68"/>
      <c r="AE23" s="68"/>
      <c r="AF23" s="68"/>
      <c r="AG23" s="68"/>
      <c r="AH23" s="68"/>
      <c r="AI23" s="68"/>
      <c r="AJ23" s="68"/>
      <c r="AK23" s="68"/>
      <c r="AL23" s="68"/>
      <c r="AM23" s="68"/>
      <c r="AN23" s="68"/>
      <c r="AO23" s="68"/>
      <c r="AP23" s="68"/>
      <c r="AQ23" s="68"/>
      <c r="AR23" s="68"/>
      <c r="AS23" s="68"/>
    </row>
    <row r="24" spans="1:45" ht="15.75" customHeight="1" x14ac:dyDescent="0.2">
      <c r="A24" s="931" t="s">
        <v>39</v>
      </c>
      <c r="B24" s="931"/>
      <c r="C24" s="931"/>
      <c r="D24" s="931"/>
      <c r="E24" s="931"/>
      <c r="F24" s="931"/>
      <c r="G24" s="931"/>
      <c r="H24" s="931"/>
      <c r="I24" s="931"/>
      <c r="J24" s="68"/>
      <c r="K24" s="6"/>
      <c r="L24" s="6"/>
      <c r="M24" s="6"/>
      <c r="N24" s="6"/>
      <c r="O24" s="6"/>
      <c r="P24" s="68"/>
      <c r="Q24" s="68"/>
      <c r="R24" s="68"/>
      <c r="S24" s="68"/>
      <c r="T24" s="68"/>
      <c r="U24" s="68"/>
      <c r="V24" s="73"/>
      <c r="W24" s="81"/>
      <c r="X24" s="69"/>
      <c r="Y24" s="68"/>
      <c r="Z24" s="68"/>
      <c r="AA24" s="68"/>
      <c r="AB24" s="68"/>
      <c r="AC24" s="68"/>
      <c r="AD24" s="68"/>
      <c r="AE24" s="68"/>
      <c r="AF24" s="68"/>
      <c r="AG24" s="68"/>
      <c r="AH24" s="68"/>
      <c r="AI24" s="68"/>
      <c r="AJ24" s="68"/>
      <c r="AK24" s="68"/>
      <c r="AL24" s="68"/>
      <c r="AM24" s="68"/>
      <c r="AN24" s="68"/>
      <c r="AO24" s="68"/>
      <c r="AP24" s="68"/>
      <c r="AQ24" s="68"/>
      <c r="AR24" s="68"/>
      <c r="AS24" s="68"/>
    </row>
    <row r="25" spans="1:45" ht="15.75" customHeight="1" x14ac:dyDescent="0.2">
      <c r="A25" s="931"/>
      <c r="B25" s="931"/>
      <c r="C25" s="931"/>
      <c r="D25" s="931"/>
      <c r="E25" s="931"/>
      <c r="F25" s="931"/>
      <c r="G25" s="931"/>
      <c r="H25" s="931"/>
      <c r="I25" s="931"/>
      <c r="J25" s="68"/>
      <c r="K25" s="6"/>
      <c r="L25" s="6"/>
      <c r="M25" s="6"/>
      <c r="N25" s="6"/>
      <c r="O25" s="6"/>
      <c r="P25" s="82" t="s">
        <v>44</v>
      </c>
      <c r="Q25" s="83">
        <f>B18</f>
        <v>20000</v>
      </c>
      <c r="R25" s="84" t="s">
        <v>19</v>
      </c>
      <c r="S25" s="79"/>
      <c r="T25" s="79"/>
      <c r="U25" s="68"/>
      <c r="V25" s="73"/>
      <c r="W25" s="81"/>
      <c r="X25" s="69"/>
      <c r="Y25" s="68"/>
      <c r="Z25" s="68"/>
      <c r="AA25" s="68"/>
      <c r="AB25" s="68"/>
      <c r="AC25" s="68"/>
      <c r="AD25" s="68"/>
      <c r="AE25" s="68"/>
      <c r="AF25" s="68"/>
      <c r="AG25" s="68"/>
      <c r="AH25" s="68"/>
      <c r="AI25" s="68"/>
      <c r="AJ25" s="68"/>
      <c r="AK25" s="68"/>
      <c r="AL25" s="68"/>
      <c r="AM25" s="68"/>
      <c r="AN25" s="68"/>
      <c r="AO25" s="68"/>
      <c r="AP25" s="68"/>
      <c r="AQ25" s="68"/>
      <c r="AR25" s="68"/>
      <c r="AS25" s="68"/>
    </row>
    <row r="26" spans="1:45" ht="15.75" customHeight="1" x14ac:dyDescent="0.2">
      <c r="A26" s="697"/>
      <c r="B26" s="697"/>
      <c r="C26" s="697"/>
      <c r="D26" s="697"/>
      <c r="E26" s="697"/>
      <c r="F26" s="697"/>
      <c r="G26" s="697"/>
      <c r="H26" s="697"/>
      <c r="I26" s="697"/>
      <c r="J26" s="68"/>
      <c r="K26" s="6"/>
      <c r="L26" s="6"/>
      <c r="M26" s="6"/>
      <c r="N26" s="6"/>
      <c r="O26" s="6"/>
      <c r="P26" s="82" t="s">
        <v>45</v>
      </c>
      <c r="Q26" s="83">
        <v>0</v>
      </c>
      <c r="R26" s="84"/>
      <c r="S26" s="85" t="s">
        <v>46</v>
      </c>
      <c r="T26" s="86">
        <f>SUM(Q36:AR36)</f>
        <v>5875.3719431218751</v>
      </c>
      <c r="U26" s="68"/>
      <c r="V26" s="73"/>
      <c r="W26" s="81"/>
      <c r="X26" s="69"/>
      <c r="Y26" s="68"/>
      <c r="Z26" s="68"/>
      <c r="AA26" s="68"/>
      <c r="AB26" s="68"/>
      <c r="AC26" s="68"/>
      <c r="AD26" s="68"/>
      <c r="AE26" s="68"/>
      <c r="AF26" s="68"/>
      <c r="AG26" s="68"/>
      <c r="AH26" s="68"/>
      <c r="AI26" s="68"/>
      <c r="AJ26" s="68"/>
      <c r="AK26" s="68"/>
      <c r="AL26" s="68"/>
      <c r="AM26" s="68"/>
      <c r="AN26" s="68"/>
      <c r="AO26" s="68"/>
      <c r="AP26" s="68"/>
      <c r="AQ26" s="68"/>
      <c r="AR26" s="68"/>
      <c r="AS26" s="68"/>
    </row>
    <row r="27" spans="1:45" ht="15" customHeight="1" x14ac:dyDescent="0.2">
      <c r="A27" s="698" t="s">
        <v>401</v>
      </c>
      <c r="B27" s="697"/>
      <c r="C27" s="697"/>
      <c r="D27" s="697"/>
      <c r="E27" s="697"/>
      <c r="F27" s="697"/>
      <c r="G27" s="697"/>
      <c r="H27" s="697"/>
      <c r="I27" s="697"/>
      <c r="J27" s="68"/>
      <c r="K27" s="68"/>
      <c r="L27" s="68"/>
      <c r="M27" s="68"/>
      <c r="N27" s="68"/>
      <c r="O27" s="68"/>
      <c r="P27" s="82" t="s">
        <v>47</v>
      </c>
      <c r="Q27" s="83">
        <f>F18*100</f>
        <v>8</v>
      </c>
      <c r="R27" s="84" t="s">
        <v>35</v>
      </c>
      <c r="S27" s="88" t="s">
        <v>47</v>
      </c>
      <c r="T27" s="89">
        <f>SUM(Q37:AR37)</f>
        <v>20000</v>
      </c>
      <c r="U27" s="87"/>
      <c r="V27" s="79"/>
      <c r="W27" s="79"/>
      <c r="X27" s="79"/>
      <c r="Y27" s="79"/>
      <c r="Z27" s="79"/>
      <c r="AA27" s="69"/>
      <c r="AB27" s="69"/>
      <c r="AC27" s="69"/>
      <c r="AD27" s="69"/>
      <c r="AE27" s="69"/>
      <c r="AF27" s="69"/>
      <c r="AG27" s="69"/>
      <c r="AH27" s="69"/>
      <c r="AI27" s="69"/>
      <c r="AJ27" s="69"/>
      <c r="AK27" s="69"/>
      <c r="AL27" s="69"/>
      <c r="AM27" s="69"/>
      <c r="AN27" s="69"/>
      <c r="AO27" s="69"/>
      <c r="AP27" s="69"/>
      <c r="AQ27" s="69"/>
      <c r="AR27" s="69"/>
      <c r="AS27" s="68"/>
    </row>
    <row r="28" spans="1:45" ht="14.25" customHeight="1" x14ac:dyDescent="0.2">
      <c r="A28" s="697"/>
      <c r="B28" s="697"/>
      <c r="C28" s="697"/>
      <c r="D28" s="697"/>
      <c r="E28" s="697"/>
      <c r="F28" s="697"/>
      <c r="G28" s="697"/>
      <c r="H28" s="697"/>
      <c r="I28" s="697"/>
      <c r="J28" s="68"/>
      <c r="K28" s="68"/>
      <c r="L28" s="68"/>
      <c r="M28" s="68"/>
      <c r="N28" s="68"/>
      <c r="O28" s="68"/>
      <c r="P28" s="82" t="s">
        <v>24</v>
      </c>
      <c r="Q28" s="83">
        <f>D18*100</f>
        <v>5</v>
      </c>
      <c r="R28" s="84" t="s">
        <v>35</v>
      </c>
      <c r="S28" s="90"/>
      <c r="T28" s="89"/>
      <c r="U28" s="91"/>
      <c r="V28" s="79"/>
      <c r="W28" s="79"/>
      <c r="X28" s="79"/>
      <c r="Y28" s="79"/>
      <c r="Z28" s="79"/>
      <c r="AA28" s="69"/>
      <c r="AB28" s="69"/>
      <c r="AC28" s="69"/>
      <c r="AD28" s="69"/>
      <c r="AE28" s="69"/>
      <c r="AF28" s="69"/>
      <c r="AG28" s="69"/>
      <c r="AH28" s="69"/>
      <c r="AI28" s="69"/>
      <c r="AJ28" s="69"/>
      <c r="AK28" s="69"/>
      <c r="AL28" s="69"/>
      <c r="AM28" s="69"/>
      <c r="AN28" s="69"/>
      <c r="AO28" s="69"/>
      <c r="AP28" s="69"/>
      <c r="AQ28" s="69"/>
      <c r="AR28" s="69"/>
      <c r="AS28" s="68"/>
    </row>
    <row r="29" spans="1:45" ht="14.25" customHeight="1" x14ac:dyDescent="0.2">
      <c r="A29" s="697" t="s">
        <v>402</v>
      </c>
      <c r="B29" s="697" t="s">
        <v>407</v>
      </c>
      <c r="C29" s="697"/>
      <c r="D29" s="697"/>
      <c r="E29" s="697"/>
      <c r="F29" s="697"/>
      <c r="G29" s="697"/>
      <c r="H29" s="697"/>
      <c r="I29" s="697"/>
      <c r="J29" s="68"/>
      <c r="K29" s="68"/>
      <c r="L29" s="68"/>
      <c r="M29" s="68"/>
      <c r="N29" s="68"/>
      <c r="O29" s="68"/>
      <c r="P29" s="82" t="s">
        <v>48</v>
      </c>
      <c r="Q29" s="83">
        <f>Q28+Q27</f>
        <v>13</v>
      </c>
      <c r="R29" s="84" t="s">
        <v>35</v>
      </c>
      <c r="S29" s="92" t="s">
        <v>48</v>
      </c>
      <c r="T29" s="93">
        <f>T26+T27</f>
        <v>25875.371943121874</v>
      </c>
      <c r="U29" s="87"/>
      <c r="V29" s="79"/>
      <c r="W29" s="79"/>
      <c r="X29" s="79"/>
      <c r="Y29" s="79"/>
      <c r="Z29" s="79"/>
      <c r="AA29" s="69"/>
      <c r="AB29" s="69"/>
      <c r="AC29" s="69"/>
      <c r="AD29" s="69"/>
      <c r="AE29" s="69"/>
      <c r="AF29" s="69"/>
      <c r="AG29" s="69"/>
      <c r="AH29" s="69"/>
      <c r="AI29" s="69"/>
      <c r="AJ29" s="69"/>
      <c r="AK29" s="69"/>
      <c r="AL29" s="69"/>
      <c r="AM29" s="69"/>
      <c r="AN29" s="69"/>
      <c r="AO29" s="69"/>
      <c r="AP29" s="69"/>
      <c r="AQ29" s="69"/>
      <c r="AR29" s="69"/>
      <c r="AS29" s="68"/>
    </row>
    <row r="30" spans="1:45" ht="14.25" customHeight="1" x14ac:dyDescent="0.2">
      <c r="A30" s="697" t="s">
        <v>403</v>
      </c>
      <c r="B30" s="932" t="s">
        <v>408</v>
      </c>
      <c r="C30" s="932"/>
      <c r="D30" s="697"/>
      <c r="E30" s="697"/>
      <c r="F30" s="697"/>
      <c r="G30" s="697"/>
      <c r="H30" s="697"/>
      <c r="I30" s="697"/>
      <c r="J30" s="68"/>
      <c r="K30" s="68"/>
      <c r="L30" s="68"/>
      <c r="M30" s="68"/>
      <c r="N30" s="68"/>
      <c r="O30" s="68"/>
      <c r="P30" s="94"/>
      <c r="Q30" s="95"/>
      <c r="R30" s="96"/>
      <c r="S30" s="79"/>
      <c r="T30" s="79"/>
      <c r="U30" s="79"/>
      <c r="V30" s="79"/>
      <c r="W30" s="79"/>
      <c r="X30" s="79"/>
      <c r="Y30" s="79"/>
      <c r="Z30" s="79"/>
      <c r="AA30" s="69"/>
      <c r="AB30" s="69"/>
      <c r="AC30" s="69"/>
      <c r="AD30" s="69"/>
      <c r="AE30" s="69"/>
      <c r="AF30" s="69"/>
      <c r="AG30" s="69"/>
      <c r="AH30" s="69"/>
      <c r="AI30" s="69"/>
      <c r="AJ30" s="69"/>
      <c r="AK30" s="69"/>
      <c r="AL30" s="69"/>
      <c r="AM30" s="69"/>
      <c r="AN30" s="69"/>
      <c r="AO30" s="69"/>
      <c r="AP30" s="69"/>
      <c r="AQ30" s="69"/>
      <c r="AR30" s="69"/>
      <c r="AS30" s="68"/>
    </row>
    <row r="31" spans="1:45" ht="14.25" customHeight="1" x14ac:dyDescent="0.2">
      <c r="A31" s="697" t="s">
        <v>404</v>
      </c>
      <c r="B31" s="932" t="s">
        <v>409</v>
      </c>
      <c r="C31" s="932"/>
      <c r="D31" s="697"/>
      <c r="E31" s="697"/>
      <c r="F31" s="697"/>
      <c r="G31" s="697"/>
      <c r="H31" s="697"/>
      <c r="I31" s="697"/>
      <c r="J31" s="68"/>
      <c r="K31" s="68"/>
      <c r="L31" s="68"/>
      <c r="M31" s="68"/>
      <c r="N31" s="68"/>
      <c r="O31" s="68"/>
      <c r="P31" s="82" t="s">
        <v>49</v>
      </c>
      <c r="Q31" s="83">
        <f>IF(ISERROR(LOG(1+Q28/Q27)/LOG(1+Q28/100)),0,(LOG(1+Q28/Q27)/LOG(1+Q28/100)))</f>
        <v>9.9509363013351066</v>
      </c>
      <c r="R31" s="84" t="s">
        <v>36</v>
      </c>
      <c r="S31" s="79"/>
      <c r="T31" s="79"/>
      <c r="U31" s="79"/>
      <c r="V31" s="79"/>
      <c r="W31" s="79"/>
      <c r="X31" s="79"/>
      <c r="Y31" s="79"/>
      <c r="Z31" s="79"/>
      <c r="AA31" s="69"/>
      <c r="AB31" s="69"/>
      <c r="AC31" s="69"/>
      <c r="AD31" s="69"/>
      <c r="AE31" s="69"/>
      <c r="AF31" s="69"/>
      <c r="AG31" s="69"/>
      <c r="AH31" s="69"/>
      <c r="AI31" s="69"/>
      <c r="AJ31" s="69"/>
      <c r="AK31" s="69"/>
      <c r="AL31" s="69"/>
      <c r="AM31" s="69"/>
      <c r="AN31" s="69"/>
      <c r="AO31" s="69"/>
      <c r="AP31" s="69"/>
      <c r="AQ31" s="69"/>
      <c r="AR31" s="69"/>
      <c r="AS31" s="68"/>
    </row>
    <row r="32" spans="1:45" ht="15.75" customHeight="1" x14ac:dyDescent="0.2">
      <c r="A32" s="839" t="s">
        <v>406</v>
      </c>
      <c r="B32" s="932" t="s">
        <v>410</v>
      </c>
      <c r="C32" s="932"/>
      <c r="D32" s="699"/>
      <c r="E32" s="699"/>
      <c r="F32" s="699"/>
      <c r="G32" s="699"/>
      <c r="H32" s="699"/>
      <c r="I32" s="699"/>
      <c r="J32" s="68"/>
      <c r="K32" s="68"/>
      <c r="L32" s="68"/>
      <c r="M32" s="68"/>
      <c r="N32" s="68"/>
      <c r="O32" s="68"/>
      <c r="P32" s="97"/>
      <c r="Q32" s="79"/>
      <c r="R32" s="97"/>
      <c r="S32" s="79"/>
      <c r="T32" s="79"/>
      <c r="U32" s="79"/>
      <c r="V32" s="79"/>
      <c r="W32" s="79"/>
      <c r="X32" s="79"/>
      <c r="Y32" s="79"/>
      <c r="Z32" s="79"/>
      <c r="AA32" s="69"/>
      <c r="AB32" s="69"/>
      <c r="AC32" s="69"/>
      <c r="AD32" s="69"/>
      <c r="AE32" s="69"/>
      <c r="AF32" s="69"/>
      <c r="AG32" s="69"/>
      <c r="AH32" s="69"/>
      <c r="AI32" s="69"/>
      <c r="AJ32" s="69"/>
      <c r="AK32" s="69"/>
      <c r="AL32" s="69"/>
      <c r="AM32" s="69"/>
      <c r="AN32" s="69"/>
      <c r="AO32" s="69"/>
      <c r="AP32" s="69"/>
      <c r="AQ32" s="69"/>
      <c r="AR32" s="69"/>
      <c r="AS32" s="68"/>
    </row>
    <row r="33" spans="1:45" ht="15.75" customHeight="1" x14ac:dyDescent="0.2">
      <c r="A33" s="840" t="s">
        <v>405</v>
      </c>
      <c r="B33" s="841" t="s">
        <v>411</v>
      </c>
      <c r="C33" s="842"/>
      <c r="D33" s="699"/>
      <c r="E33" s="699"/>
      <c r="F33" s="699"/>
      <c r="G33" s="699"/>
      <c r="H33" s="699"/>
      <c r="I33" s="699"/>
      <c r="J33" s="68"/>
      <c r="K33" s="68"/>
      <c r="L33" s="68"/>
      <c r="M33" s="68"/>
      <c r="N33" s="68"/>
      <c r="O33" s="68"/>
      <c r="P33" s="98"/>
      <c r="Q33" s="99">
        <v>1</v>
      </c>
      <c r="R33" s="99">
        <v>2</v>
      </c>
      <c r="S33" s="99">
        <v>3</v>
      </c>
      <c r="T33" s="99">
        <v>4</v>
      </c>
      <c r="U33" s="99">
        <v>5</v>
      </c>
      <c r="V33" s="99">
        <v>6</v>
      </c>
      <c r="W33" s="99">
        <v>7</v>
      </c>
      <c r="X33" s="99">
        <v>8</v>
      </c>
      <c r="Y33" s="99">
        <v>8.8699999999999992</v>
      </c>
      <c r="Z33" s="99">
        <v>10</v>
      </c>
      <c r="AA33" s="99">
        <v>11</v>
      </c>
      <c r="AB33" s="99">
        <v>12</v>
      </c>
      <c r="AC33" s="99">
        <v>13</v>
      </c>
      <c r="AD33" s="99">
        <v>14</v>
      </c>
      <c r="AE33" s="99">
        <v>15</v>
      </c>
      <c r="AF33" s="99">
        <v>16</v>
      </c>
      <c r="AG33" s="99">
        <v>17</v>
      </c>
      <c r="AH33" s="99">
        <v>18</v>
      </c>
      <c r="AI33" s="99">
        <v>19</v>
      </c>
      <c r="AJ33" s="99">
        <v>20</v>
      </c>
      <c r="AK33" s="99">
        <v>21</v>
      </c>
      <c r="AL33" s="99">
        <v>22</v>
      </c>
      <c r="AM33" s="99">
        <v>23</v>
      </c>
      <c r="AN33" s="99">
        <v>24</v>
      </c>
      <c r="AO33" s="99">
        <v>25</v>
      </c>
      <c r="AP33" s="99">
        <v>26</v>
      </c>
      <c r="AQ33" s="99">
        <v>27</v>
      </c>
      <c r="AR33" s="99">
        <v>28</v>
      </c>
      <c r="AS33" s="68"/>
    </row>
    <row r="34" spans="1:45" x14ac:dyDescent="0.2">
      <c r="A34" s="699"/>
      <c r="B34" s="699"/>
      <c r="C34" s="699"/>
      <c r="D34" s="699"/>
      <c r="E34" s="699"/>
      <c r="F34" s="699"/>
      <c r="G34" s="699"/>
      <c r="H34" s="699"/>
      <c r="I34" s="699"/>
      <c r="J34" s="68"/>
      <c r="K34" s="68"/>
      <c r="L34" s="68"/>
      <c r="M34" s="68"/>
      <c r="N34" s="68"/>
      <c r="O34" s="68"/>
      <c r="P34" s="98" t="s">
        <v>45</v>
      </c>
      <c r="Q34" s="100">
        <f>Q26</f>
        <v>0</v>
      </c>
      <c r="R34" s="100">
        <f t="shared" ref="R34:AR34" si="0">Q34+1</f>
        <v>1</v>
      </c>
      <c r="S34" s="100">
        <f t="shared" si="0"/>
        <v>2</v>
      </c>
      <c r="T34" s="100">
        <f t="shared" si="0"/>
        <v>3</v>
      </c>
      <c r="U34" s="100">
        <f t="shared" si="0"/>
        <v>4</v>
      </c>
      <c r="V34" s="100">
        <f t="shared" si="0"/>
        <v>5</v>
      </c>
      <c r="W34" s="100">
        <f t="shared" si="0"/>
        <v>6</v>
      </c>
      <c r="X34" s="100">
        <f t="shared" si="0"/>
        <v>7</v>
      </c>
      <c r="Y34" s="100">
        <f t="shared" si="0"/>
        <v>8</v>
      </c>
      <c r="Z34" s="100">
        <f t="shared" si="0"/>
        <v>9</v>
      </c>
      <c r="AA34" s="100">
        <f t="shared" si="0"/>
        <v>10</v>
      </c>
      <c r="AB34" s="100">
        <f t="shared" si="0"/>
        <v>11</v>
      </c>
      <c r="AC34" s="100">
        <f t="shared" si="0"/>
        <v>12</v>
      </c>
      <c r="AD34" s="100">
        <f t="shared" si="0"/>
        <v>13</v>
      </c>
      <c r="AE34" s="100">
        <f t="shared" si="0"/>
        <v>14</v>
      </c>
      <c r="AF34" s="100">
        <f t="shared" si="0"/>
        <v>15</v>
      </c>
      <c r="AG34" s="100">
        <f t="shared" si="0"/>
        <v>16</v>
      </c>
      <c r="AH34" s="100">
        <f t="shared" si="0"/>
        <v>17</v>
      </c>
      <c r="AI34" s="100">
        <f t="shared" si="0"/>
        <v>18</v>
      </c>
      <c r="AJ34" s="100">
        <f t="shared" si="0"/>
        <v>19</v>
      </c>
      <c r="AK34" s="100">
        <f t="shared" si="0"/>
        <v>20</v>
      </c>
      <c r="AL34" s="100">
        <f t="shared" si="0"/>
        <v>21</v>
      </c>
      <c r="AM34" s="100">
        <f t="shared" si="0"/>
        <v>22</v>
      </c>
      <c r="AN34" s="100">
        <f t="shared" si="0"/>
        <v>23</v>
      </c>
      <c r="AO34" s="100">
        <f t="shared" si="0"/>
        <v>24</v>
      </c>
      <c r="AP34" s="100">
        <f t="shared" si="0"/>
        <v>25</v>
      </c>
      <c r="AQ34" s="100">
        <f t="shared" si="0"/>
        <v>26</v>
      </c>
      <c r="AR34" s="100">
        <f t="shared" si="0"/>
        <v>27</v>
      </c>
      <c r="AS34" s="68"/>
    </row>
    <row r="35" spans="1:45" x14ac:dyDescent="0.2">
      <c r="A35" s="699"/>
      <c r="B35" s="699"/>
      <c r="C35" s="699"/>
      <c r="D35" s="699"/>
      <c r="E35" s="699"/>
      <c r="F35" s="699"/>
      <c r="G35" s="699"/>
      <c r="H35" s="699"/>
      <c r="I35" s="699"/>
      <c r="J35" s="68"/>
      <c r="K35" s="68"/>
      <c r="L35" s="68"/>
      <c r="M35" s="68"/>
      <c r="N35" s="68"/>
      <c r="O35" s="68"/>
      <c r="P35" s="98" t="s">
        <v>50</v>
      </c>
      <c r="Q35" s="101">
        <f>Q25</f>
        <v>20000</v>
      </c>
      <c r="R35" s="101">
        <f t="shared" ref="R35:AR35" si="1">IF(R33&gt;=Laufzeit,Q35-Q37,Q35-Q37)</f>
        <v>18400</v>
      </c>
      <c r="S35" s="101">
        <f t="shared" si="1"/>
        <v>16720</v>
      </c>
      <c r="T35" s="101">
        <f t="shared" si="1"/>
        <v>14956</v>
      </c>
      <c r="U35" s="101">
        <f t="shared" si="1"/>
        <v>13103.8</v>
      </c>
      <c r="V35" s="101">
        <f t="shared" si="1"/>
        <v>11158.99</v>
      </c>
      <c r="W35" s="101">
        <f t="shared" si="1"/>
        <v>9116.9395000000004</v>
      </c>
      <c r="X35" s="101">
        <f t="shared" si="1"/>
        <v>6972.7864750000008</v>
      </c>
      <c r="Y35" s="101">
        <f t="shared" si="1"/>
        <v>4721.4257987500005</v>
      </c>
      <c r="Z35" s="101">
        <f>IF(Z33&gt;=Laufzeit,Y35-Y37,Y35-Y37)</f>
        <v>2357.4970886875003</v>
      </c>
      <c r="AA35" s="101">
        <f t="shared" si="1"/>
        <v>0</v>
      </c>
      <c r="AB35" s="101">
        <f t="shared" si="1"/>
        <v>0</v>
      </c>
      <c r="AC35" s="101">
        <f t="shared" si="1"/>
        <v>0</v>
      </c>
      <c r="AD35" s="101">
        <f t="shared" si="1"/>
        <v>0</v>
      </c>
      <c r="AE35" s="101">
        <f t="shared" si="1"/>
        <v>0</v>
      </c>
      <c r="AF35" s="101">
        <f t="shared" si="1"/>
        <v>0</v>
      </c>
      <c r="AG35" s="101">
        <f t="shared" si="1"/>
        <v>0</v>
      </c>
      <c r="AH35" s="101">
        <f t="shared" si="1"/>
        <v>0</v>
      </c>
      <c r="AI35" s="101">
        <f t="shared" si="1"/>
        <v>0</v>
      </c>
      <c r="AJ35" s="101">
        <f t="shared" si="1"/>
        <v>0</v>
      </c>
      <c r="AK35" s="101">
        <f t="shared" si="1"/>
        <v>0</v>
      </c>
      <c r="AL35" s="101">
        <f t="shared" si="1"/>
        <v>0</v>
      </c>
      <c r="AM35" s="101">
        <f t="shared" si="1"/>
        <v>0</v>
      </c>
      <c r="AN35" s="101">
        <f t="shared" si="1"/>
        <v>0</v>
      </c>
      <c r="AO35" s="101">
        <f t="shared" si="1"/>
        <v>0</v>
      </c>
      <c r="AP35" s="101">
        <f t="shared" si="1"/>
        <v>0</v>
      </c>
      <c r="AQ35" s="101">
        <f t="shared" si="1"/>
        <v>0</v>
      </c>
      <c r="AR35" s="101">
        <f t="shared" si="1"/>
        <v>0</v>
      </c>
      <c r="AS35" s="68"/>
    </row>
    <row r="36" spans="1:45" x14ac:dyDescent="0.2">
      <c r="A36" s="699"/>
      <c r="B36" s="699"/>
      <c r="C36" s="699"/>
      <c r="D36" s="699"/>
      <c r="E36" s="699"/>
      <c r="F36" s="699"/>
      <c r="G36" s="699"/>
      <c r="H36" s="699"/>
      <c r="I36" s="699"/>
      <c r="J36" s="68"/>
      <c r="K36" s="68"/>
      <c r="L36" s="68"/>
      <c r="M36" s="68"/>
      <c r="N36" s="68"/>
      <c r="O36" s="68"/>
      <c r="P36" s="98" t="s">
        <v>46</v>
      </c>
      <c r="Q36" s="101">
        <f>Q25*Q28/100</f>
        <v>1000</v>
      </c>
      <c r="R36" s="101">
        <f>IF(R35=" ","Q41",R35*Q28/100)</f>
        <v>920</v>
      </c>
      <c r="S36" s="101">
        <f>IF(S35=" ","Q41",S35*Q28/100)</f>
        <v>836</v>
      </c>
      <c r="T36" s="101">
        <f>IF(T35=" ","Q41",T35*Q28/100)</f>
        <v>747.8</v>
      </c>
      <c r="U36" s="101">
        <f>IF(U35=" ","Q41",U35*Q28/100)</f>
        <v>655.19000000000005</v>
      </c>
      <c r="V36" s="101">
        <f>IF(V35=" ","Q41",V35*Q28/100)</f>
        <v>557.94949999999994</v>
      </c>
      <c r="W36" s="101">
        <f>IF(W35=" ","Q41",W35*Q28/100)</f>
        <v>455.84697500000004</v>
      </c>
      <c r="X36" s="102">
        <f>IF(X35=" ","Q41",X35*$Q$28/100)</f>
        <v>348.63932375000002</v>
      </c>
      <c r="Y36" s="103">
        <f>IF(Y35=" ","",Y35*$Q$28/100)</f>
        <v>236.07128993750004</v>
      </c>
      <c r="Z36" s="103">
        <f>IF(Z35=" "," ",Z35*$Q$28/100)</f>
        <v>117.87485443437501</v>
      </c>
      <c r="AA36" s="103">
        <f t="shared" ref="AA36:AR36" si="2">IF(AA35=" "," ",AA35*$Q$28/100)</f>
        <v>0</v>
      </c>
      <c r="AB36" s="103">
        <f t="shared" si="2"/>
        <v>0</v>
      </c>
      <c r="AC36" s="103">
        <f t="shared" si="2"/>
        <v>0</v>
      </c>
      <c r="AD36" s="103">
        <f t="shared" si="2"/>
        <v>0</v>
      </c>
      <c r="AE36" s="103">
        <f t="shared" si="2"/>
        <v>0</v>
      </c>
      <c r="AF36" s="103">
        <f t="shared" si="2"/>
        <v>0</v>
      </c>
      <c r="AG36" s="103">
        <f t="shared" si="2"/>
        <v>0</v>
      </c>
      <c r="AH36" s="103">
        <f t="shared" si="2"/>
        <v>0</v>
      </c>
      <c r="AI36" s="103">
        <f t="shared" si="2"/>
        <v>0</v>
      </c>
      <c r="AJ36" s="103">
        <f t="shared" si="2"/>
        <v>0</v>
      </c>
      <c r="AK36" s="103">
        <f t="shared" si="2"/>
        <v>0</v>
      </c>
      <c r="AL36" s="103">
        <f t="shared" si="2"/>
        <v>0</v>
      </c>
      <c r="AM36" s="103">
        <f t="shared" si="2"/>
        <v>0</v>
      </c>
      <c r="AN36" s="103">
        <f t="shared" si="2"/>
        <v>0</v>
      </c>
      <c r="AO36" s="103">
        <f t="shared" si="2"/>
        <v>0</v>
      </c>
      <c r="AP36" s="103">
        <f t="shared" si="2"/>
        <v>0</v>
      </c>
      <c r="AQ36" s="103">
        <f t="shared" si="2"/>
        <v>0</v>
      </c>
      <c r="AR36" s="103">
        <f t="shared" si="2"/>
        <v>0</v>
      </c>
      <c r="AS36" s="68"/>
    </row>
    <row r="37" spans="1:45" x14ac:dyDescent="0.2">
      <c r="A37" s="699"/>
      <c r="B37" s="699"/>
      <c r="C37" s="699"/>
      <c r="D37" s="699"/>
      <c r="E37" s="699"/>
      <c r="F37" s="699"/>
      <c r="G37" s="699"/>
      <c r="H37" s="699"/>
      <c r="I37" s="699"/>
      <c r="J37" s="68"/>
      <c r="K37" s="68"/>
      <c r="L37" s="68"/>
      <c r="M37" s="68"/>
      <c r="N37" s="68"/>
      <c r="O37" s="68"/>
      <c r="P37" s="98" t="s">
        <v>47</v>
      </c>
      <c r="Q37" s="101">
        <f>Q25*Q27/100</f>
        <v>1600</v>
      </c>
      <c r="R37" s="101">
        <f>IF(Q38&lt;R35,Q38-R36,R35)</f>
        <v>1680</v>
      </c>
      <c r="S37" s="101">
        <f t="shared" ref="S37:AR37" si="3">IF(R38&lt;S35,R38-S36,S35)</f>
        <v>1764</v>
      </c>
      <c r="T37" s="101">
        <f t="shared" si="3"/>
        <v>1852.2</v>
      </c>
      <c r="U37" s="101">
        <f t="shared" si="3"/>
        <v>1944.81</v>
      </c>
      <c r="V37" s="101">
        <f t="shared" si="3"/>
        <v>2042.0505000000001</v>
      </c>
      <c r="W37" s="101">
        <f t="shared" si="3"/>
        <v>2144.1530250000001</v>
      </c>
      <c r="X37" s="101">
        <f t="shared" si="3"/>
        <v>2251.3606762499999</v>
      </c>
      <c r="Y37" s="101">
        <f t="shared" si="3"/>
        <v>2363.9287100625002</v>
      </c>
      <c r="Z37" s="101">
        <f t="shared" si="3"/>
        <v>2357.4970886875003</v>
      </c>
      <c r="AA37" s="101">
        <f t="shared" si="3"/>
        <v>0</v>
      </c>
      <c r="AB37" s="101">
        <f t="shared" si="3"/>
        <v>0</v>
      </c>
      <c r="AC37" s="101">
        <f t="shared" si="3"/>
        <v>0</v>
      </c>
      <c r="AD37" s="101">
        <f t="shared" si="3"/>
        <v>0</v>
      </c>
      <c r="AE37" s="101">
        <f t="shared" si="3"/>
        <v>0</v>
      </c>
      <c r="AF37" s="101">
        <f t="shared" si="3"/>
        <v>0</v>
      </c>
      <c r="AG37" s="101">
        <f t="shared" si="3"/>
        <v>0</v>
      </c>
      <c r="AH37" s="101">
        <f t="shared" si="3"/>
        <v>0</v>
      </c>
      <c r="AI37" s="101">
        <f t="shared" si="3"/>
        <v>0</v>
      </c>
      <c r="AJ37" s="101">
        <f t="shared" si="3"/>
        <v>0</v>
      </c>
      <c r="AK37" s="101">
        <f t="shared" si="3"/>
        <v>0</v>
      </c>
      <c r="AL37" s="101">
        <f t="shared" si="3"/>
        <v>0</v>
      </c>
      <c r="AM37" s="101">
        <f t="shared" si="3"/>
        <v>0</v>
      </c>
      <c r="AN37" s="101">
        <f t="shared" si="3"/>
        <v>0</v>
      </c>
      <c r="AO37" s="101">
        <f t="shared" si="3"/>
        <v>0</v>
      </c>
      <c r="AP37" s="101">
        <f t="shared" si="3"/>
        <v>0</v>
      </c>
      <c r="AQ37" s="101">
        <f t="shared" si="3"/>
        <v>0</v>
      </c>
      <c r="AR37" s="101">
        <f t="shared" si="3"/>
        <v>0</v>
      </c>
      <c r="AS37" s="68"/>
    </row>
    <row r="38" spans="1:45" x14ac:dyDescent="0.2">
      <c r="A38" s="699"/>
      <c r="B38" s="699"/>
      <c r="C38" s="699"/>
      <c r="D38" s="699"/>
      <c r="E38" s="699"/>
      <c r="F38" s="699"/>
      <c r="G38" s="699"/>
      <c r="H38" s="699"/>
      <c r="I38" s="699"/>
      <c r="J38" s="68"/>
      <c r="K38" s="68"/>
      <c r="L38" s="68"/>
      <c r="M38" s="68"/>
      <c r="N38" s="68"/>
      <c r="O38" s="68"/>
      <c r="P38" s="98" t="s">
        <v>48</v>
      </c>
      <c r="Q38" s="101">
        <f>Q36+Q37</f>
        <v>2600</v>
      </c>
      <c r="R38" s="101">
        <f>IF(R35&gt;$Q$38,$Q$38,R35)</f>
        <v>2600</v>
      </c>
      <c r="S38" s="101">
        <f t="shared" ref="S38:AR38" si="4">IF(S35&gt;$Q$38,$Q$38,S35)</f>
        <v>2600</v>
      </c>
      <c r="T38" s="101">
        <f t="shared" si="4"/>
        <v>2600</v>
      </c>
      <c r="U38" s="101">
        <f t="shared" si="4"/>
        <v>2600</v>
      </c>
      <c r="V38" s="101">
        <f t="shared" si="4"/>
        <v>2600</v>
      </c>
      <c r="W38" s="101">
        <f t="shared" si="4"/>
        <v>2600</v>
      </c>
      <c r="X38" s="101">
        <f t="shared" si="4"/>
        <v>2600</v>
      </c>
      <c r="Y38" s="101">
        <f>IF(Y35&gt;$Q$38,$Q$38,Y35+Y36)</f>
        <v>2600</v>
      </c>
      <c r="Z38" s="101">
        <f t="shared" si="4"/>
        <v>2357.4970886875003</v>
      </c>
      <c r="AA38" s="101">
        <f t="shared" si="4"/>
        <v>0</v>
      </c>
      <c r="AB38" s="101">
        <f t="shared" si="4"/>
        <v>0</v>
      </c>
      <c r="AC38" s="101">
        <f t="shared" si="4"/>
        <v>0</v>
      </c>
      <c r="AD38" s="101">
        <f t="shared" si="4"/>
        <v>0</v>
      </c>
      <c r="AE38" s="101">
        <f t="shared" si="4"/>
        <v>0</v>
      </c>
      <c r="AF38" s="101">
        <f t="shared" si="4"/>
        <v>0</v>
      </c>
      <c r="AG38" s="101">
        <f t="shared" si="4"/>
        <v>0</v>
      </c>
      <c r="AH38" s="101">
        <f t="shared" si="4"/>
        <v>0</v>
      </c>
      <c r="AI38" s="101">
        <f t="shared" si="4"/>
        <v>0</v>
      </c>
      <c r="AJ38" s="101">
        <f t="shared" si="4"/>
        <v>0</v>
      </c>
      <c r="AK38" s="101">
        <f t="shared" si="4"/>
        <v>0</v>
      </c>
      <c r="AL38" s="101">
        <f t="shared" si="4"/>
        <v>0</v>
      </c>
      <c r="AM38" s="101">
        <f t="shared" si="4"/>
        <v>0</v>
      </c>
      <c r="AN38" s="101">
        <f t="shared" si="4"/>
        <v>0</v>
      </c>
      <c r="AO38" s="101">
        <f t="shared" si="4"/>
        <v>0</v>
      </c>
      <c r="AP38" s="101">
        <f t="shared" si="4"/>
        <v>0</v>
      </c>
      <c r="AQ38" s="101">
        <f t="shared" si="4"/>
        <v>0</v>
      </c>
      <c r="AR38" s="101">
        <f t="shared" si="4"/>
        <v>0</v>
      </c>
      <c r="AS38" s="68"/>
    </row>
    <row r="39" spans="1:45" x14ac:dyDescent="0.2">
      <c r="A39" s="699"/>
      <c r="B39" s="699"/>
      <c r="C39" s="699"/>
      <c r="D39" s="699"/>
      <c r="E39" s="699"/>
      <c r="F39" s="699"/>
      <c r="G39" s="699"/>
      <c r="H39" s="699"/>
      <c r="I39" s="699"/>
      <c r="J39" s="68"/>
      <c r="K39" s="68"/>
      <c r="L39" s="68"/>
      <c r="M39" s="68"/>
      <c r="N39" s="68"/>
      <c r="O39" s="68"/>
      <c r="P39" s="68"/>
      <c r="Q39" s="68"/>
      <c r="R39" s="68"/>
      <c r="S39" s="68"/>
      <c r="T39" s="68"/>
      <c r="U39" s="68"/>
      <c r="V39" s="68"/>
      <c r="W39" s="68"/>
      <c r="X39" s="68"/>
      <c r="Y39" s="104"/>
      <c r="Z39" s="104"/>
      <c r="AA39" s="104"/>
      <c r="AB39" s="104"/>
      <c r="AC39" s="104"/>
      <c r="AD39" s="104"/>
      <c r="AE39" s="104"/>
      <c r="AF39" s="104"/>
      <c r="AG39" s="104"/>
      <c r="AH39" s="104"/>
      <c r="AI39" s="104"/>
      <c r="AJ39" s="104"/>
      <c r="AK39" s="104"/>
      <c r="AL39" s="104"/>
      <c r="AM39" s="104"/>
      <c r="AN39" s="104"/>
      <c r="AO39" s="104"/>
      <c r="AP39" s="104"/>
      <c r="AQ39" s="68"/>
      <c r="AR39" s="68"/>
      <c r="AS39" s="68"/>
    </row>
    <row r="40" spans="1:45" ht="15.75" x14ac:dyDescent="0.2">
      <c r="A40" s="191" t="s">
        <v>40</v>
      </c>
      <c r="B40" s="159"/>
      <c r="C40" s="159"/>
      <c r="D40" s="159"/>
      <c r="E40" s="159"/>
      <c r="F40" s="159"/>
      <c r="G40" s="192"/>
      <c r="H40" s="192"/>
      <c r="I40" s="192"/>
      <c r="J40" s="68"/>
      <c r="K40" s="68"/>
      <c r="L40" s="68"/>
      <c r="M40" s="68"/>
      <c r="N40" s="68"/>
      <c r="O40" s="68"/>
      <c r="P40" s="68"/>
      <c r="Q40" s="68"/>
      <c r="R40" s="68"/>
      <c r="S40" s="68"/>
      <c r="T40" s="68"/>
      <c r="U40" s="68"/>
      <c r="V40" s="68"/>
      <c r="W40" s="68"/>
      <c r="X40" s="68"/>
      <c r="Y40" s="68"/>
      <c r="Z40" s="68"/>
      <c r="AA40" s="68"/>
      <c r="AB40" s="68"/>
      <c r="AC40" s="68"/>
      <c r="AD40" s="68"/>
      <c r="AE40" s="68"/>
      <c r="AF40" s="68"/>
      <c r="AG40" s="68"/>
      <c r="AH40" s="68"/>
      <c r="AI40" s="68"/>
      <c r="AJ40" s="68"/>
      <c r="AK40" s="68"/>
      <c r="AL40" s="68"/>
      <c r="AM40" s="68"/>
      <c r="AN40" s="68"/>
      <c r="AO40" s="68"/>
      <c r="AP40" s="68"/>
      <c r="AQ40" s="68"/>
      <c r="AR40" s="68"/>
      <c r="AS40" s="68"/>
    </row>
    <row r="41" spans="1:45" ht="15.75" x14ac:dyDescent="0.25">
      <c r="A41" s="193" t="s">
        <v>41</v>
      </c>
      <c r="B41" s="194"/>
      <c r="C41" s="194"/>
      <c r="D41" s="194"/>
      <c r="E41" s="193"/>
      <c r="F41" s="194"/>
      <c r="G41" s="195"/>
      <c r="H41" s="193"/>
      <c r="I41" s="192"/>
      <c r="J41" s="68"/>
      <c r="K41" s="68"/>
      <c r="L41" s="68"/>
      <c r="M41" s="68"/>
      <c r="N41" s="68"/>
      <c r="O41" s="68"/>
      <c r="P41" s="68"/>
      <c r="Q41" s="68"/>
      <c r="R41" s="68"/>
      <c r="S41" s="68"/>
      <c r="T41" s="68"/>
      <c r="U41" s="68"/>
      <c r="V41" s="68"/>
      <c r="W41" s="68"/>
      <c r="X41" s="68"/>
      <c r="Y41" s="68"/>
      <c r="Z41" s="68"/>
      <c r="AA41" s="68"/>
      <c r="AB41" s="68"/>
      <c r="AC41" s="68"/>
      <c r="AD41" s="68"/>
      <c r="AE41" s="68"/>
      <c r="AF41" s="68"/>
      <c r="AG41" s="68"/>
      <c r="AH41" s="68"/>
      <c r="AI41" s="68"/>
      <c r="AJ41" s="68"/>
      <c r="AK41" s="68"/>
      <c r="AL41" s="68"/>
      <c r="AM41" s="68"/>
      <c r="AN41" s="68"/>
      <c r="AO41" s="68"/>
      <c r="AP41" s="68"/>
      <c r="AR41" s="68"/>
      <c r="AS41" s="68"/>
    </row>
    <row r="42" spans="1:45" x14ac:dyDescent="0.2">
      <c r="A42" s="699"/>
      <c r="B42" s="699"/>
      <c r="C42" s="699"/>
      <c r="D42" s="699"/>
      <c r="E42" s="699"/>
      <c r="F42" s="699"/>
      <c r="G42" s="699"/>
      <c r="H42" s="699"/>
      <c r="I42" s="699"/>
      <c r="J42" s="68"/>
      <c r="K42" s="68"/>
      <c r="L42" s="68"/>
      <c r="M42" s="68"/>
      <c r="N42" s="68"/>
      <c r="O42" s="68"/>
      <c r="P42" s="68"/>
      <c r="Q42" s="68"/>
      <c r="R42" s="68"/>
      <c r="S42" s="68"/>
      <c r="T42" s="68"/>
      <c r="U42" s="68"/>
      <c r="V42" s="68"/>
      <c r="W42" s="68"/>
      <c r="X42" s="68"/>
      <c r="Y42" s="68"/>
      <c r="Z42" s="68"/>
      <c r="AA42" s="68"/>
      <c r="AB42" s="68"/>
      <c r="AC42" s="68"/>
      <c r="AD42" s="68"/>
      <c r="AE42" s="68"/>
      <c r="AF42" s="68"/>
      <c r="AG42" s="68"/>
      <c r="AH42" s="68"/>
      <c r="AI42" s="68"/>
      <c r="AJ42" s="68"/>
      <c r="AK42" s="68"/>
      <c r="AL42" s="68"/>
      <c r="AM42" s="68"/>
      <c r="AN42" s="68"/>
      <c r="AO42" s="68"/>
      <c r="AP42" s="68"/>
      <c r="AQ42" s="68"/>
      <c r="AR42" s="68"/>
      <c r="AS42" s="68"/>
    </row>
    <row r="43" spans="1:45" x14ac:dyDescent="0.2">
      <c r="J43" s="68"/>
      <c r="K43" s="68"/>
      <c r="L43" s="68"/>
      <c r="M43" s="68"/>
      <c r="N43" s="68"/>
      <c r="O43" s="68"/>
      <c r="P43" s="68"/>
      <c r="Q43" s="68"/>
      <c r="R43" s="68"/>
      <c r="S43" s="68"/>
      <c r="T43" s="68"/>
      <c r="U43" s="68"/>
      <c r="V43" s="68"/>
      <c r="W43" s="68"/>
      <c r="X43" s="68"/>
      <c r="Y43" s="68"/>
      <c r="Z43" s="68"/>
      <c r="AA43" s="68"/>
      <c r="AB43" s="68"/>
      <c r="AC43" s="68"/>
      <c r="AD43" s="68"/>
      <c r="AE43" s="68"/>
      <c r="AF43" s="68"/>
      <c r="AG43" s="68"/>
      <c r="AH43" s="68"/>
      <c r="AI43" s="68"/>
      <c r="AJ43" s="68"/>
      <c r="AK43" s="68"/>
      <c r="AL43" s="68"/>
      <c r="AM43" s="68"/>
      <c r="AN43" s="68"/>
      <c r="AO43" s="68"/>
      <c r="AP43" s="68"/>
      <c r="AQ43" s="68"/>
      <c r="AR43" s="68"/>
      <c r="AS43" s="68"/>
    </row>
    <row r="44" spans="1:45" x14ac:dyDescent="0.2">
      <c r="J44" s="68"/>
      <c r="K44" s="68"/>
      <c r="L44" s="68"/>
      <c r="M44" s="68"/>
      <c r="N44" s="68"/>
      <c r="O44" s="68"/>
      <c r="P44" s="68"/>
      <c r="Q44" s="68"/>
      <c r="R44" s="68"/>
      <c r="S44" s="68"/>
      <c r="T44" s="68"/>
      <c r="U44" s="68"/>
      <c r="V44" s="68"/>
      <c r="W44" s="68"/>
      <c r="X44" s="68"/>
      <c r="Y44" s="68"/>
      <c r="Z44" s="68"/>
      <c r="AA44" s="68"/>
      <c r="AB44" s="68"/>
      <c r="AC44" s="68"/>
      <c r="AD44" s="68"/>
      <c r="AE44" s="68"/>
      <c r="AF44" s="68"/>
      <c r="AG44" s="68"/>
      <c r="AH44" s="68"/>
      <c r="AI44" s="68"/>
      <c r="AJ44" s="68"/>
      <c r="AK44" s="68"/>
      <c r="AL44" s="68"/>
      <c r="AM44" s="68"/>
      <c r="AN44" s="68"/>
      <c r="AO44" s="68"/>
      <c r="AP44" s="68"/>
      <c r="AQ44" s="68"/>
      <c r="AR44" s="68"/>
      <c r="AS44" s="68"/>
    </row>
    <row r="45" spans="1:45" x14ac:dyDescent="0.2">
      <c r="J45" s="68"/>
      <c r="K45" s="68"/>
      <c r="L45" s="68"/>
      <c r="M45" s="68"/>
      <c r="N45" s="68"/>
      <c r="O45" s="68"/>
      <c r="P45" s="68"/>
      <c r="Q45" s="68"/>
      <c r="R45" s="68"/>
      <c r="S45" s="68"/>
      <c r="T45" s="68"/>
      <c r="U45" s="68"/>
      <c r="V45" s="68"/>
      <c r="W45" s="68"/>
      <c r="X45" s="68"/>
      <c r="Y45" s="68"/>
      <c r="Z45" s="68"/>
      <c r="AA45" s="68"/>
      <c r="AB45" s="68"/>
      <c r="AC45" s="68"/>
      <c r="AD45" s="68"/>
      <c r="AE45" s="68"/>
      <c r="AF45" s="68"/>
      <c r="AG45" s="68"/>
      <c r="AH45" s="68"/>
      <c r="AI45" s="68"/>
      <c r="AJ45" s="68"/>
      <c r="AK45" s="68"/>
      <c r="AL45" s="68"/>
      <c r="AM45" s="68"/>
      <c r="AN45" s="68"/>
      <c r="AO45" s="68"/>
      <c r="AP45" s="68"/>
      <c r="AQ45" s="68"/>
      <c r="AR45" s="68"/>
      <c r="AS45" s="68"/>
    </row>
  </sheetData>
  <sheetProtection password="C12A" sheet="1" objects="1" scenarios="1" selectLockedCells="1"/>
  <mergeCells count="15">
    <mergeCell ref="A24:I25"/>
    <mergeCell ref="B30:C30"/>
    <mergeCell ref="B31:C31"/>
    <mergeCell ref="B32:C32"/>
    <mergeCell ref="K19:K20"/>
    <mergeCell ref="A1:I2"/>
    <mergeCell ref="A4:A5"/>
    <mergeCell ref="B4:B5"/>
    <mergeCell ref="C4:C5"/>
    <mergeCell ref="D4:D5"/>
    <mergeCell ref="E4:E5"/>
    <mergeCell ref="F4:F5"/>
    <mergeCell ref="G4:G5"/>
    <mergeCell ref="H4:H5"/>
    <mergeCell ref="I4:I5"/>
  </mergeCells>
  <hyperlinks>
    <hyperlink ref="A33" r:id="rId1"/>
    <hyperlink ref="B33" r:id="rId2"/>
  </hyperlinks>
  <pageMargins left="0.70866141732283472" right="0.70866141732283472" top="0.78740157480314965" bottom="0.78740157480314965" header="0.31496062992125984" footer="0.31496062992125984"/>
  <pageSetup paperSize="9" scale="76" orientation="portrait" r:id="rId3"/>
  <colBreaks count="1" manualBreakCount="1">
    <brk id="9" max="1048575" man="1"/>
  </colBreaks>
  <ignoredErrors>
    <ignoredError sqref="Y38"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M65"/>
  <sheetViews>
    <sheetView zoomScaleNormal="100" zoomScaleSheetLayoutView="70" zoomScalePageLayoutView="20" workbookViewId="0">
      <selection activeCell="G17" sqref="G17"/>
    </sheetView>
  </sheetViews>
  <sheetFormatPr baseColWidth="10" defaultRowHeight="14.25" x14ac:dyDescent="0.2"/>
  <cols>
    <col min="1" max="1" width="20.75" style="699" customWidth="1"/>
    <col min="2" max="2" width="9.625" style="699" customWidth="1"/>
    <col min="3" max="3" width="11" style="699" customWidth="1"/>
    <col min="4" max="4" width="11.5" style="699" customWidth="1"/>
    <col min="5" max="6" width="12.5" style="699" customWidth="1"/>
    <col min="7" max="7" width="13" style="699" customWidth="1"/>
    <col min="8" max="8" width="12.875" style="699" customWidth="1"/>
    <col min="9" max="9" width="12.25" style="699" customWidth="1"/>
    <col min="10" max="10" width="12.875" style="699" customWidth="1"/>
    <col min="11" max="11" width="12.375" style="699" customWidth="1"/>
    <col min="12" max="12" width="12.5" style="699" customWidth="1"/>
    <col min="13" max="13" width="12.875" style="699" customWidth="1"/>
    <col min="14" max="16384" width="11" style="699"/>
  </cols>
  <sheetData>
    <row r="1" spans="1:13" ht="34.5" customHeight="1" x14ac:dyDescent="0.2">
      <c r="A1" s="927" t="s">
        <v>51</v>
      </c>
      <c r="B1" s="927"/>
      <c r="C1" s="927"/>
      <c r="D1" s="927"/>
      <c r="E1" s="927"/>
      <c r="F1" s="927"/>
      <c r="G1" s="927"/>
      <c r="H1" s="927"/>
      <c r="I1" s="927"/>
      <c r="J1" s="927"/>
      <c r="K1" s="927"/>
      <c r="L1" s="927"/>
      <c r="M1" s="927"/>
    </row>
    <row r="2" spans="1:13" ht="16.5" customHeight="1" x14ac:dyDescent="0.2">
      <c r="A2" s="614"/>
      <c r="B2" s="105"/>
      <c r="C2" s="105"/>
      <c r="D2" s="105"/>
      <c r="E2" s="105"/>
      <c r="F2" s="105"/>
      <c r="G2" s="105"/>
      <c r="H2" s="105"/>
      <c r="I2" s="105"/>
      <c r="J2" s="105"/>
      <c r="K2" s="105"/>
      <c r="L2" s="105"/>
      <c r="M2" s="105"/>
    </row>
    <row r="3" spans="1:13" ht="18" x14ac:dyDescent="0.2">
      <c r="A3" s="121"/>
      <c r="B3" s="122"/>
      <c r="C3" s="123" t="s">
        <v>45</v>
      </c>
      <c r="D3" s="123" t="s">
        <v>45</v>
      </c>
      <c r="E3" s="123" t="s">
        <v>45</v>
      </c>
      <c r="F3" s="123" t="s">
        <v>45</v>
      </c>
      <c r="G3" s="123" t="s">
        <v>45</v>
      </c>
      <c r="H3" s="123" t="s">
        <v>45</v>
      </c>
      <c r="I3" s="123" t="s">
        <v>45</v>
      </c>
      <c r="J3" s="123" t="s">
        <v>45</v>
      </c>
      <c r="K3" s="123" t="s">
        <v>45</v>
      </c>
      <c r="L3" s="123" t="s">
        <v>45</v>
      </c>
      <c r="M3" s="123" t="s">
        <v>45</v>
      </c>
    </row>
    <row r="4" spans="1:13" ht="18" x14ac:dyDescent="0.2">
      <c r="A4" s="121"/>
      <c r="B4" s="121"/>
      <c r="C4" s="124">
        <v>1</v>
      </c>
      <c r="D4" s="124">
        <v>2</v>
      </c>
      <c r="E4" s="124">
        <v>3</v>
      </c>
      <c r="F4" s="124">
        <v>4</v>
      </c>
      <c r="G4" s="124">
        <v>5</v>
      </c>
      <c r="H4" s="124">
        <v>6</v>
      </c>
      <c r="I4" s="124">
        <v>7</v>
      </c>
      <c r="J4" s="124">
        <v>8</v>
      </c>
      <c r="K4" s="124">
        <v>9</v>
      </c>
      <c r="L4" s="124">
        <v>10</v>
      </c>
      <c r="M4" s="124">
        <v>11</v>
      </c>
    </row>
    <row r="5" spans="1:13" ht="18" x14ac:dyDescent="0.2">
      <c r="A5" s="125"/>
      <c r="B5" s="125"/>
      <c r="C5" s="126" t="s">
        <v>19</v>
      </c>
      <c r="D5" s="126" t="s">
        <v>19</v>
      </c>
      <c r="E5" s="126" t="s">
        <v>19</v>
      </c>
      <c r="F5" s="126" t="s">
        <v>19</v>
      </c>
      <c r="G5" s="126" t="s">
        <v>19</v>
      </c>
      <c r="H5" s="126" t="s">
        <v>19</v>
      </c>
      <c r="I5" s="126" t="s">
        <v>19</v>
      </c>
      <c r="J5" s="126" t="s">
        <v>19</v>
      </c>
      <c r="K5" s="126" t="s">
        <v>19</v>
      </c>
      <c r="L5" s="126" t="s">
        <v>19</v>
      </c>
      <c r="M5" s="126" t="s">
        <v>19</v>
      </c>
    </row>
    <row r="6" spans="1:13" ht="21.95" customHeight="1" x14ac:dyDescent="0.25">
      <c r="A6" s="134" t="s">
        <v>29</v>
      </c>
      <c r="B6" s="128" t="s">
        <v>24</v>
      </c>
      <c r="C6" s="717">
        <f>IF(Finanzierungsplan!$F$10&gt;=C4,0,(Finanzierungsplan!$W$13-C7/2-SUM(B7))*Finanzierungsplan!$D$10)</f>
        <v>0</v>
      </c>
      <c r="D6" s="717">
        <f>IF(Finanzierungsplan!$F$10&gt;=D4,0,(Finanzierungsplan!$W$13-D7/2-SUM(B7:C7))*Finanzierungsplan!$D$10)</f>
        <v>0</v>
      </c>
      <c r="E6" s="717">
        <f>IF(Finanzierungsplan!$F$10&gt;=E4,0,(Finanzierungsplan!$W$13-E7/2-SUM(C7:D7))*Finanzierungsplan!$D$10)</f>
        <v>0</v>
      </c>
      <c r="F6" s="717">
        <f>IF(Finanzierungsplan!$F$10&gt;=F4,0,(Finanzierungsplan!$W$13-F7/2-SUM(C7:E7))*Finanzierungsplan!$D$10)</f>
        <v>0</v>
      </c>
      <c r="G6" s="717">
        <f>IF(Finanzierungsplan!$F$10&gt;=G4,0,(Finanzierungsplan!$W$13-G7/2-SUM(C7:F7))*Finanzierungsplan!$D$10)</f>
        <v>0</v>
      </c>
      <c r="H6" s="717">
        <f>IF(Finanzierungsplan!$F$10&gt;=H4,0,(Finanzierungsplan!$W$13-H7/2-SUM(C7:G7))*Finanzierungsplan!$D$10)</f>
        <v>0</v>
      </c>
      <c r="I6" s="717">
        <f>IF(Finanzierungsplan!$F$10&gt;=I4,0,(Finanzierungsplan!$W$13-I7/2-SUM(C7:H7))*Finanzierungsplan!$D$10)</f>
        <v>0</v>
      </c>
      <c r="J6" s="717">
        <f>IF(Finanzierungsplan!$F$10&gt;=J4,0,(Finanzierungsplan!$W$13-J7/2-SUM(C7:I7))*Finanzierungsplan!$D$10)</f>
        <v>0</v>
      </c>
      <c r="K6" s="717">
        <f>IF(Finanzierungsplan!$F$10&gt;=K4,0,(Finanzierungsplan!$W$13-K7/2-SUM(C7:J7))*Finanzierungsplan!$D$10)</f>
        <v>0</v>
      </c>
      <c r="L6" s="717">
        <f>IF(Finanzierungsplan!$F$10&gt;=L4,0,(Finanzierungsplan!$W$13-L7/2-SUM(C7:K7))*Finanzierungsplan!$D$10)</f>
        <v>0</v>
      </c>
      <c r="M6" s="717">
        <f>IF(Finanzierungsplan!$F$10&gt;=M4,0,(Finanzierungsplan!$W$13-M7/2-SUM(C7:L7))*Finanzierungsplan!$D$10)</f>
        <v>0</v>
      </c>
    </row>
    <row r="7" spans="1:13" ht="21.95" customHeight="1" x14ac:dyDescent="0.25">
      <c r="A7" s="129" t="s">
        <v>52</v>
      </c>
      <c r="B7" s="128" t="s">
        <v>53</v>
      </c>
      <c r="C7" s="717">
        <f>IF(Finanzierungsplan!G10&gt;=$C$4,0,Finanzierungsplan!W13/Finanzierungsplan!H10)</f>
        <v>0</v>
      </c>
      <c r="D7" s="717">
        <f>IF(OR(SUM($C$7:C7)=Finanzierungsplan!$W$13,Finanzierungsplan!$G$10&gt;=D4),0,Finanzierungsplan!$W$13/Finanzierungsplan!$H$10)</f>
        <v>0</v>
      </c>
      <c r="E7" s="717">
        <f>IF(OR(SUM($C$7:D7)=Finanzierungsplan!$W$13,Finanzierungsplan!$G$10&gt;=E4),0,Finanzierungsplan!$W$13/Finanzierungsplan!$H$10)</f>
        <v>0</v>
      </c>
      <c r="F7" s="717">
        <f>IF(OR(SUM($C$7:E7)=Finanzierungsplan!$W$13,Finanzierungsplan!$G$10&gt;=F4),0,Finanzierungsplan!$W$13/Finanzierungsplan!$H$10)</f>
        <v>0</v>
      </c>
      <c r="G7" s="717">
        <f>IF(OR(SUM($C$7:F7)=Finanzierungsplan!$W$13,Finanzierungsplan!$G$10&gt;=G4),0,Finanzierungsplan!$W$13/Finanzierungsplan!$H$10)</f>
        <v>0</v>
      </c>
      <c r="H7" s="717">
        <f>IF(OR(SUM($C$7:G7)=Finanzierungsplan!$W$13,Finanzierungsplan!$G$10&gt;=H4),0,Finanzierungsplan!$W$13/Finanzierungsplan!$H$10)</f>
        <v>0</v>
      </c>
      <c r="I7" s="717">
        <f>IF(OR(SUM($C$7:H7)=Finanzierungsplan!$W$13,Finanzierungsplan!$G$10&gt;=I4),0,Finanzierungsplan!$W$13/Finanzierungsplan!$H$10)</f>
        <v>0</v>
      </c>
      <c r="J7" s="717">
        <f>IF(OR(SUM($C$7:I7)=Finanzierungsplan!$W$13,Finanzierungsplan!$G$10&gt;=J4),0,Finanzierungsplan!$W$13/Finanzierungsplan!$H$10)</f>
        <v>0</v>
      </c>
      <c r="K7" s="717">
        <f>IF(OR(SUM($C$7:J7)=Finanzierungsplan!$W$13,Finanzierungsplan!$G$10&gt;=K4),0,Finanzierungsplan!$W$13/Finanzierungsplan!$H$10)</f>
        <v>0</v>
      </c>
      <c r="L7" s="717">
        <f>IF(OR(SUM($C$7:K7)=Finanzierungsplan!$W$13,Finanzierungsplan!$G$10&gt;=L4),0,Finanzierungsplan!$W$13/Finanzierungsplan!$H$10)</f>
        <v>0</v>
      </c>
      <c r="M7" s="717">
        <f>IF(OR(SUM($C$7:L7)=Finanzierungsplan!$W$13,Finanzierungsplan!$G$10&gt;=M4),0,Finanzierungsplan!$W$13/Finanzierungsplan!$H$10)</f>
        <v>0</v>
      </c>
    </row>
    <row r="8" spans="1:13" ht="21.95" customHeight="1" x14ac:dyDescent="0.25">
      <c r="A8" s="130"/>
      <c r="B8" s="131"/>
      <c r="C8" s="718"/>
      <c r="D8" s="718"/>
      <c r="E8" s="718"/>
      <c r="F8" s="718"/>
      <c r="G8" s="718"/>
      <c r="H8" s="718"/>
      <c r="I8" s="718"/>
      <c r="J8" s="718"/>
      <c r="K8" s="718"/>
      <c r="L8" s="718"/>
      <c r="M8" s="718"/>
    </row>
    <row r="9" spans="1:13" ht="21.95" customHeight="1" x14ac:dyDescent="0.25">
      <c r="A9" s="719" t="s">
        <v>80</v>
      </c>
      <c r="B9" s="128" t="s">
        <v>24</v>
      </c>
      <c r="C9" s="717">
        <f>IF(Finanzierungsplan!F12&gt;=$C$4,0,(Finanzierungsplan!W15-C10/2-SUM(B10))*Finanzierungsplan!D12)</f>
        <v>0</v>
      </c>
      <c r="D9" s="717">
        <f>IF(Finanzierungsplan!F12&gt;=$D$4,0,(Finanzierungsplan!W15-D10/2-SUM(B10:C10))*Finanzierungsplan!D12)</f>
        <v>0</v>
      </c>
      <c r="E9" s="717">
        <f>IF(Finanzierungsplan!F12&gt;=$E$4,0,(Finanzierungsplan!W15-E10/2-SUM(B10:D10))*Finanzierungsplan!D12)</f>
        <v>0</v>
      </c>
      <c r="F9" s="717">
        <f>IF(Finanzierungsplan!F12&gt;=$F$4,0,(Finanzierungsplan!W15-F10/2-SUM(B10:E10))*Finanzierungsplan!D12)</f>
        <v>0</v>
      </c>
      <c r="G9" s="717">
        <f>IF(Finanzierungsplan!F12&gt;=$G$4,0,(Finanzierungsplan!W15-G10/2-SUM(C10:F10))*Finanzierungsplan!D12)</f>
        <v>0</v>
      </c>
      <c r="H9" s="717">
        <f>IF(Finanzierungsplan!F12&gt;=$H$4,0,(Finanzierungsplan!W15-H10/2-SUM(C10:G10))*Finanzierungsplan!D12)</f>
        <v>0</v>
      </c>
      <c r="I9" s="717">
        <f>IF(Finanzierungsplan!F12&gt;=$I$4,0,(Finanzierungsplan!W15-I10/2-SUM(C10:H10))*Finanzierungsplan!D12)</f>
        <v>0</v>
      </c>
      <c r="J9" s="717">
        <f>IF(Finanzierungsplan!F12&gt;=$J$4,0,(Finanzierungsplan!W15-J10/2-SUM(C10:I10))*Finanzierungsplan!D12)</f>
        <v>0</v>
      </c>
      <c r="K9" s="717">
        <f>IF(Finanzierungsplan!F12&gt;=$L$4,0,(Finanzierungsplan!W15-L10/2-SUM(C10:K10))*Finanzierungsplan!D12)</f>
        <v>0</v>
      </c>
      <c r="L9" s="717">
        <f>IF(Finanzierungsplan!F12&gt;=$L$4,0,(Finanzierungsplan!W15-L10/2-SUM(C10:K10))*Finanzierungsplan!D12)</f>
        <v>0</v>
      </c>
      <c r="M9" s="717">
        <f>IF(Finanzierungsplan!F12&gt;=$M$4,0,(Finanzierungsplan!W15-M10/2-SUM(C10:L10))*Finanzierungsplan!D12)</f>
        <v>0</v>
      </c>
    </row>
    <row r="10" spans="1:13" ht="21.95" customHeight="1" x14ac:dyDescent="0.25">
      <c r="A10" s="129" t="s">
        <v>54</v>
      </c>
      <c r="B10" s="128" t="s">
        <v>53</v>
      </c>
      <c r="C10" s="717">
        <f>IF(Finanzierungsplan!G12&gt;=$C$4,0,Finanzierungsplan!W15/Finanzierungsplan!H12)</f>
        <v>0</v>
      </c>
      <c r="D10" s="717">
        <f>IF(OR(SUM($C10:C10)=Finanzierungsplan!W15,Finanzierungsplan!G12&gt;=$D$4),0,Finanzierungsplan!W15/Finanzierungsplan!H12)</f>
        <v>0</v>
      </c>
      <c r="E10" s="717">
        <f>IF(OR(SUM(C13:D13)=Finanzierungsplan!W15,Finanzierungsplan!G12&gt;=$E$4),0,Finanzierungsplan!W15/Finanzierungsplan!H12)</f>
        <v>0</v>
      </c>
      <c r="F10" s="717">
        <f>IF(OR(SUM(C10:E10)=Finanzierungsplan!W15,Finanzierungsplan!G12&gt;=$F$4),0,Finanzierungsplan!W15/Finanzierungsplan!H12)</f>
        <v>0</v>
      </c>
      <c r="G10" s="717">
        <f>IF(OR(SUM(C10:F10)=Finanzierungsplan!W15,Finanzierungsplan!F12&gt;=$G$4),0,Finanzierungsplan!W15/Finanzierungsplan!H12)</f>
        <v>0</v>
      </c>
      <c r="H10" s="717">
        <f>IF(OR(SUM(C10:G10)=Finanzierungsplan!W15,Finanzierungsplan!G12&gt;=$H$4),0,Finanzierungsplan!W15/Finanzierungsplan!H12)</f>
        <v>0</v>
      </c>
      <c r="I10" s="717">
        <f>IF(OR(SUM(C10:H10)=Finanzierungsplan!W15,Finanzierungsplan!G12&gt;=$I$4),0,Finanzierungsplan!W15/Finanzierungsplan!H12)</f>
        <v>0</v>
      </c>
      <c r="J10" s="717">
        <f>IF(OR(SUM(C10:I10)=Finanzierungsplan!W15,Finanzierungsplan!G12&gt;=$J$4),0,Finanzierungsplan!W15/Finanzierungsplan!H12)</f>
        <v>0</v>
      </c>
      <c r="K10" s="717">
        <f>IF(OR(SUM(C10:J10)=Finanzierungsplan!W15,Finanzierungsplan!G12&gt;=$K$4),0,Finanzierungsplan!W15/Finanzierungsplan!H12)</f>
        <v>0</v>
      </c>
      <c r="L10" s="717">
        <f>IF(OR(SUM(C10:K10)=Finanzierungsplan!W15,Finanzierungsplan!G12&gt;=$L$4),0,Finanzierungsplan!W15/Finanzierungsplan!H12)</f>
        <v>0</v>
      </c>
      <c r="M10" s="717">
        <f>IF(OR(SUM(C10:L10)=Finanzierungsplan!W15,Finanzierungsplan!F12&gt;=$M$4),0,Finanzierungsplan!W15/Finanzierungsplan!H12)</f>
        <v>0</v>
      </c>
    </row>
    <row r="11" spans="1:13" ht="21.95" customHeight="1" x14ac:dyDescent="0.25">
      <c r="A11" s="130"/>
      <c r="B11" s="131"/>
      <c r="C11" s="718"/>
      <c r="D11" s="718"/>
      <c r="E11" s="718"/>
      <c r="F11" s="718"/>
      <c r="G11" s="718"/>
      <c r="H11" s="718"/>
      <c r="I11" s="718"/>
      <c r="J11" s="718"/>
      <c r="K11" s="718"/>
      <c r="L11" s="718"/>
      <c r="M11" s="718"/>
    </row>
    <row r="12" spans="1:13" ht="21.95" customHeight="1" x14ac:dyDescent="0.25">
      <c r="A12" s="127" t="s">
        <v>42</v>
      </c>
      <c r="B12" s="128" t="s">
        <v>24</v>
      </c>
      <c r="C12" s="720">
        <f>IF(Finanzierungsplan!F13&gt;=$C$4,0,((Finanzierungsplan!W16-(C13/2)-SUM(B13))*Finanzierungsplan!D13))</f>
        <v>3020</v>
      </c>
      <c r="D12" s="717">
        <f>IF(Finanzierungsplan!F13&gt;=$D$4,0,(Finanzierungsplan!W16-D13/2-SUM(B13:C13))*Finanzierungsplan!D13)</f>
        <v>3020</v>
      </c>
      <c r="E12" s="717">
        <f>IF(Finanzierungsplan!F13&gt;=$E$4,0,(Finanzierungsplan!W16-E13/2-SUM(B13:D13))*Finanzierungsplan!D13)</f>
        <v>2831.25</v>
      </c>
      <c r="F12" s="717">
        <f>IF(Finanzierungsplan!F13&gt;=$F$4,0,(Finanzierungsplan!W16-F13/2-SUM(B13:E13))*Finanzierungsplan!D13)</f>
        <v>2453.75</v>
      </c>
      <c r="G12" s="717">
        <f>IF(Finanzierungsplan!F13&gt;=$G$4,0,(Finanzierungsplan!W16-G13/2-SUM(C13:F13))*Finanzierungsplan!D13)</f>
        <v>2076.25</v>
      </c>
      <c r="H12" s="717">
        <f>IF(Finanzierungsplan!F13&gt;=$H$4,0,(Finanzierungsplan!W16-H13/2-SUM(C13:G13))*Finanzierungsplan!D13)</f>
        <v>1698.75</v>
      </c>
      <c r="I12" s="717">
        <f>IF(Finanzierungsplan!F13&gt;=$I$4,0,(Finanzierungsplan!W16-I13/2-SUM(C13:H13))*Finanzierungsplan!D13)</f>
        <v>1321.25</v>
      </c>
      <c r="J12" s="717">
        <f>IF(Finanzierungsplan!F13&gt;=$J$4,0,(Finanzierungsplan!W16-J13/2-SUM(C13:I13))*Finanzierungsplan!D13)</f>
        <v>943.75</v>
      </c>
      <c r="K12" s="717">
        <f>IF(Finanzierungsplan!F13&gt;=$K$4,0,(Finanzierungsplan!W16-K13/2-SUM(C13:J13))*Finanzierungsplan!D13)</f>
        <v>566.25</v>
      </c>
      <c r="L12" s="717">
        <f>IF(Finanzierungsplan!F13&gt;=$L$4,0,(Finanzierungsplan!W16-L13/2-SUM(C13:K13))*Finanzierungsplan!D13)</f>
        <v>188.75</v>
      </c>
      <c r="M12" s="717">
        <f>IF(Finanzierungsplan!F13&gt;=$M$4,0,(Finanzierungsplan!W16-M13/2-SUM(C13:L13))*Finanzierungsplan!D13)</f>
        <v>0</v>
      </c>
    </row>
    <row r="13" spans="1:13" ht="21.95" customHeight="1" x14ac:dyDescent="0.25">
      <c r="A13" s="129" t="s">
        <v>54</v>
      </c>
      <c r="B13" s="132" t="s">
        <v>53</v>
      </c>
      <c r="C13" s="717">
        <f>IF(Finanzierungsplan!G13&gt;=$C$4,0,Finanzierungsplan!W16/Finanzierungsplan!H13)</f>
        <v>0</v>
      </c>
      <c r="D13" s="717">
        <f>IF(OR(SUM($C13:C13)=Finanzierungsplan!W16,Finanzierungsplan!G13&gt;=$D$4),0,Finanzierungsplan!W16/Finanzierungsplan!H13)</f>
        <v>0</v>
      </c>
      <c r="E13" s="717">
        <f>IF(OR(SUM(C13:D13)=Finanzierungsplan!W16,Finanzierungsplan!G13&gt;=$E$4),0,Finanzierungsplan!W16/Finanzierungsplan!H13)</f>
        <v>12500</v>
      </c>
      <c r="F13" s="717">
        <f>IF(OR(SUM(C13:E13)=Finanzierungsplan!W16,Finanzierungsplan!G13&gt;=$F$4),0,Finanzierungsplan!W16/Finanzierungsplan!H13)</f>
        <v>12500</v>
      </c>
      <c r="G13" s="717">
        <f>IF(OR(SUM(C13:F13)=Finanzierungsplan!W16,Finanzierungsplan!G13&gt;=$G$4),0,Finanzierungsplan!W16/Finanzierungsplan!H13)</f>
        <v>12500</v>
      </c>
      <c r="H13" s="717">
        <f>IF(OR(SUM(C13:G13)=Finanzierungsplan!W16,Finanzierungsplan!G13&gt;=$H$4),0,Finanzierungsplan!W16/Finanzierungsplan!H13)</f>
        <v>12500</v>
      </c>
      <c r="I13" s="717">
        <f>IF(OR(SUM(C13:H13)=Finanzierungsplan!W16,Finanzierungsplan!G13&gt;=$I$4),0,Finanzierungsplan!W16/Finanzierungsplan!H13)</f>
        <v>12500</v>
      </c>
      <c r="J13" s="717">
        <f>IF(OR(SUM(C13:I13)=Finanzierungsplan!W16,Finanzierungsplan!G13&gt;=$J$4),0,Finanzierungsplan!W16/Finanzierungsplan!H13)</f>
        <v>12500</v>
      </c>
      <c r="K13" s="717">
        <f>IF(OR(SUM(C13:J13)=Finanzierungsplan!W16,Finanzierungsplan!G13&gt;=$K$4),0,Finanzierungsplan!W16/Finanzierungsplan!H13)</f>
        <v>12500</v>
      </c>
      <c r="L13" s="717">
        <f>IF(OR(SUM(C13:K13)=Finanzierungsplan!W16,Finanzierungsplan!G13&gt;=$L$4),0,Finanzierungsplan!W16/Finanzierungsplan!H13)</f>
        <v>12500</v>
      </c>
      <c r="M13" s="717">
        <f>IF(OR(SUM(C13:L13)=Finanzierungsplan!W16,Finanzierungsplan!G13&gt;=$M$4),0,Finanzierungsplan!W16/Finanzierungsplan!H13)</f>
        <v>0</v>
      </c>
    </row>
    <row r="14" spans="1:13" ht="21.95" customHeight="1" x14ac:dyDescent="0.25">
      <c r="A14" s="130"/>
      <c r="B14" s="131"/>
      <c r="C14" s="718"/>
      <c r="D14" s="718"/>
      <c r="E14" s="718"/>
      <c r="F14" s="718"/>
      <c r="G14" s="718"/>
      <c r="H14" s="718"/>
      <c r="I14" s="718"/>
      <c r="J14" s="718"/>
      <c r="K14" s="718"/>
      <c r="L14" s="718"/>
      <c r="M14" s="718"/>
    </row>
    <row r="15" spans="1:13" ht="21.95" customHeight="1" x14ac:dyDescent="0.25">
      <c r="A15" s="719" t="s">
        <v>84</v>
      </c>
      <c r="B15" s="128" t="s">
        <v>24</v>
      </c>
      <c r="C15" s="717">
        <f>IF(Finanzierungsplan!F15&gt;=$C$4,0,((Finanzierungsplan!W20-(C16/2)-SUM(B16))*Finanzierungsplan!D15))</f>
        <v>0</v>
      </c>
      <c r="D15" s="717">
        <f>IF(Finanzierungsplan!F15&gt;=$D$4,0,(Finanzierungsplan!W20-D16/2-SUM(B16:C16))*Finanzierungsplan!D15)</f>
        <v>0</v>
      </c>
      <c r="E15" s="717">
        <f>IF(Finanzierungsplan!F15&gt;=$E$4,0,(Finanzierungsplan!W20-E16/2-SUM(B16:D16))*Finanzierungsplan!D15)</f>
        <v>0</v>
      </c>
      <c r="F15" s="717">
        <f>IF(Finanzierungsplan!F15&gt;=$F$4,0,(Finanzierungsplan!W20-F16/2-SUM(B16:E16))*Finanzierungsplan!D15)</f>
        <v>0</v>
      </c>
      <c r="G15" s="717">
        <f>IF(Finanzierungsplan!F15&gt;=$G$4,0,(Finanzierungsplan!W20-G16/2-SUM(C16:F16))*Finanzierungsplan!D15)</f>
        <v>0</v>
      </c>
      <c r="H15" s="717">
        <f>IF(Finanzierungsplan!F15&gt;=$H$4,0,(Finanzierungsplan!W20-H16/2-SUM(C16:G16))*Finanzierungsplan!D15)</f>
        <v>0</v>
      </c>
      <c r="I15" s="717">
        <f>IF(Finanzierungsplan!F15&gt;=$I$4,0,(Finanzierungsplan!W20-I16/2-SUM(C16:H16))*Finanzierungsplan!D15)</f>
        <v>0</v>
      </c>
      <c r="J15" s="717">
        <f>IF(Finanzierungsplan!F15&gt;=$J$4,0,(Finanzierungsplan!W20-J16/2-SUM(C16:I16))*Finanzierungsplan!D15)</f>
        <v>0</v>
      </c>
      <c r="K15" s="717">
        <f>IF(Finanzierungsplan!F15&gt;=$K$4,0,(Finanzierungsplan!W20-K16/2-SUM(C16:J16))*Finanzierungsplan!D15)</f>
        <v>0</v>
      </c>
      <c r="L15" s="717">
        <f>IF(Finanzierungsplan!F15&gt;=$L$4,0,(Finanzierungsplan!W20-L16/2-SUM(C16:K16))*Finanzierungsplan!D15)</f>
        <v>0</v>
      </c>
      <c r="M15" s="717">
        <f>IF(Finanzierungsplan!F15&gt;=$M$4,0,(Finanzierungsplan!W20-M16/2-SUM(C16:L16))*Finanzierungsplan!D15)</f>
        <v>0</v>
      </c>
    </row>
    <row r="16" spans="1:13" ht="21.95" customHeight="1" x14ac:dyDescent="0.25">
      <c r="A16" s="129" t="s">
        <v>54</v>
      </c>
      <c r="B16" s="128" t="s">
        <v>53</v>
      </c>
      <c r="C16" s="717">
        <f>IF(Finanzierungsplan!G15&gt;=$C$4,0,Finanzierungsplan!W20/Finanzierungsplan!H15)</f>
        <v>0</v>
      </c>
      <c r="D16" s="717">
        <f>IF(OR(SUM($C16:C16)=Finanzierungsplan!W20,Finanzierungsplan!F15&gt;=$D$4),0,Finanzierungsplan!W20/Finanzierungsplan!H15)</f>
        <v>0</v>
      </c>
      <c r="E16" s="717">
        <f>IF(OR(SUM(C16:D16)=Finanzierungsplan!W20,Finanzierungsplan!G15&gt;=$E$4),0,Finanzierungsplan!W20/Finanzierungsplan!H15)</f>
        <v>0</v>
      </c>
      <c r="F16" s="717">
        <f>IF(OR(SUM(C16:E16)=Finanzierungsplan!W20,Finanzierungsplan!G15&gt;=$F$4),0,Finanzierungsplan!W20/Finanzierungsplan!H15)</f>
        <v>0</v>
      </c>
      <c r="G16" s="717">
        <f>IF(OR(SUM(C16:F16)=Finanzierungsplan!W20,Finanzierungsplan!G15&gt;=$G$4),0,Finanzierungsplan!W20/Finanzierungsplan!H15)</f>
        <v>0</v>
      </c>
      <c r="H16" s="717">
        <f>IF(OR(SUM(C16:G16)=Finanzierungsplan!W20,Finanzierungsplan!G15&gt;=$H$4),0,Finanzierungsplan!W20/Finanzierungsplan!H15)</f>
        <v>0</v>
      </c>
      <c r="I16" s="717">
        <f>IF(OR(SUM(C16:H16)=Finanzierungsplan!W20,Finanzierungsplan!G15&gt;=$I$4),0,Finanzierungsplan!W20/Finanzierungsplan!H15)</f>
        <v>0</v>
      </c>
      <c r="J16" s="717">
        <f>IF(OR(SUM(C16:I16)=Finanzierungsplan!W20,Finanzierungsplan!G15&gt;=$J$4),0,Finanzierungsplan!W20/Finanzierungsplan!H15)</f>
        <v>0</v>
      </c>
      <c r="K16" s="717">
        <f>IF(OR(SUM(C16:J16)=Finanzierungsplan!W20,Finanzierungsplan!G15&gt;=$K$4),0,Finanzierungsplan!W20/Finanzierungsplan!H15)</f>
        <v>0</v>
      </c>
      <c r="L16" s="717">
        <f>IF(OR(SUM(C16:K16)=Finanzierungsplan!W20,Finanzierungsplan!G15&gt;=$L$4),0,Finanzierungsplan!W20/Finanzierungsplan!H15)</f>
        <v>0</v>
      </c>
      <c r="M16" s="717">
        <f>IF(OR(SUM(C16:L16)=Finanzierungsplan!W20,Finanzierungsplan!G15&gt;=$M$4),0,Finanzierungsplan!W20/Finanzierungsplan!H15)</f>
        <v>0</v>
      </c>
    </row>
    <row r="17" spans="1:13" ht="21.95" customHeight="1" x14ac:dyDescent="0.25">
      <c r="A17" s="133" t="s">
        <v>27</v>
      </c>
      <c r="B17" s="131"/>
      <c r="C17" s="718"/>
      <c r="D17" s="718"/>
      <c r="E17" s="718"/>
      <c r="F17" s="718"/>
      <c r="G17" s="718"/>
      <c r="H17" s="718"/>
      <c r="I17" s="718"/>
      <c r="J17" s="718"/>
      <c r="K17" s="718"/>
      <c r="L17" s="718"/>
      <c r="M17" s="718"/>
    </row>
    <row r="18" spans="1:13" ht="21.95" customHeight="1" x14ac:dyDescent="0.25">
      <c r="A18" s="127" t="s">
        <v>31</v>
      </c>
      <c r="B18" s="128" t="s">
        <v>24</v>
      </c>
      <c r="C18" s="717">
        <f>IF(Finanzierungsplan!F16&gt;=$C$4,0,((Finanzierungsplan!W18-(C19/2)-SUM(B19))*Finanzierungsplan!D16))</f>
        <v>0</v>
      </c>
      <c r="D18" s="717">
        <f>IF(Finanzierungsplan!F16&gt;=$D$4,0,(Finanzierungsplan!W18-D19/2-SUM(B19:C19))*Finanzierungsplan!D16)</f>
        <v>0</v>
      </c>
      <c r="E18" s="717">
        <f>IF(Finanzierungsplan!F16&gt;=$E$4,0,(Finanzierungsplan!W18-E19/2-SUM(B19:D19))*Finanzierungsplan!D16)</f>
        <v>0</v>
      </c>
      <c r="F18" s="717">
        <f>IF(Finanzierungsplan!F16&gt;=$F$4,0,(Finanzierungsplan!W18-F19/2-SUM(B19:E19))*Finanzierungsplan!D16)</f>
        <v>0</v>
      </c>
      <c r="G18" s="717">
        <f>IF(Finanzierungsplan!F16&gt;=$G$4,0,(Finanzierungsplan!W18-G19/2-SUM(C19:F19))*Finanzierungsplan!D16)</f>
        <v>0</v>
      </c>
      <c r="H18" s="717">
        <f>IF(Finanzierungsplan!F16&gt;=$H$4,0,(Finanzierungsplan!W18-H19/2-SUM(C19:G19))*Finanzierungsplan!D16)</f>
        <v>0</v>
      </c>
      <c r="I18" s="717">
        <f>IF(Finanzierungsplan!F16&gt;=$I$4,0,(Finanzierungsplan!W18-I19/2-SUM(C19:H19))*Finanzierungsplan!D16)</f>
        <v>0</v>
      </c>
      <c r="J18" s="717">
        <f>IF(Finanzierungsplan!F16&gt;=$J$4,0,(Finanzierungsplan!W18-J19/2-SUM(C19:I19))*Finanzierungsplan!D16)</f>
        <v>0</v>
      </c>
      <c r="K18" s="717">
        <f>IF(Finanzierungsplan!F16&gt;=$K$4,0,(Finanzierungsplan!W18-K19/2-SUM(C19:J19))*Finanzierungsplan!D16)</f>
        <v>0</v>
      </c>
      <c r="L18" s="717">
        <f>IF(Finanzierungsplan!F16&gt;=$L$4,0,(Finanzierungsplan!W18-L19/2-SUM(C19:K19))*Finanzierungsplan!D16)</f>
        <v>0</v>
      </c>
      <c r="M18" s="717">
        <f>IF(Finanzierungsplan!F16&gt;=$M$4,0,(Finanzierungsplan!W18-M19/2-SUM(C19:L19))*Finanzierungsplan!D16)</f>
        <v>0</v>
      </c>
    </row>
    <row r="19" spans="1:13" ht="21.95" customHeight="1" x14ac:dyDescent="0.25">
      <c r="A19" s="129" t="s">
        <v>52</v>
      </c>
      <c r="B19" s="128" t="s">
        <v>53</v>
      </c>
      <c r="C19" s="717">
        <f>IF(Finanzierungsplan!G16&gt;=$C$4,0,Finanzierungsplan!W18/Finanzierungsplan!H16)</f>
        <v>0</v>
      </c>
      <c r="D19" s="717">
        <f>IF(OR(SUM($C19:C19)=Finanzierungsplan!W18,Finanzierungsplan!G16&gt;=$D$4),0,Finanzierungsplan!W18/Finanzierungsplan!H16)</f>
        <v>0</v>
      </c>
      <c r="E19" s="717">
        <f>IF(OR(SUM($C19:D19)=Finanzierungsplan!W18,Finanzierungsplan!G16&gt;=$E$4),0,Finanzierungsplan!W18/Finanzierungsplan!H16)</f>
        <v>0</v>
      </c>
      <c r="F19" s="717">
        <f>IF(OR(SUM($C19:E19)=Finanzierungsplan!W18,Finanzierungsplan!G16&gt;=$F$4),0,Finanzierungsplan!W18/Finanzierungsplan!H16)</f>
        <v>0</v>
      </c>
      <c r="G19" s="717">
        <f>IF(OR(SUM($C19:E19)=Finanzierungsplan!W18,Finanzierungsplan!G16&gt;=$F$4),0,Finanzierungsplan!W18/Finanzierungsplan!H16)</f>
        <v>0</v>
      </c>
      <c r="H19" s="717">
        <f>IF(OR(SUM($C19:G19)=Finanzierungsplan!W18,Finanzierungsplan!G16&gt;=$H$4),0,Finanzierungsplan!W18/Finanzierungsplan!H16)</f>
        <v>0</v>
      </c>
      <c r="I19" s="717">
        <f>IF(OR(SUM($C19:H19)=Finanzierungsplan!W18,Finanzierungsplan!G16&gt;=$I$4),0,Finanzierungsplan!W18/Finanzierungsplan!H16)</f>
        <v>0</v>
      </c>
      <c r="J19" s="717">
        <f>IF(OR(SUM($C19:E19)=Finanzierungsplan!W18,Finanzierungsplan!G16&gt;=$F$4),0,Finanzierungsplan!W18/Finanzierungsplan!H16)</f>
        <v>0</v>
      </c>
      <c r="K19" s="717">
        <f>IF(OR(SUM($C19:E19)=Finanzierungsplan!W18,Finanzierungsplan!G16&gt;=$F$4),0,Finanzierungsplan!W18/Finanzierungsplan!H16)</f>
        <v>0</v>
      </c>
      <c r="L19" s="717">
        <f>IF(OR(SUM($C19:E19)=Finanzierungsplan!W18,Finanzierungsplan!G16&gt;=$F$4),0,Finanzierungsplan!W18/Finanzierungsplan!H16)</f>
        <v>0</v>
      </c>
      <c r="M19" s="717">
        <f>IF(OR(SUM(C19:L19)=Finanzierungsplan!W18,Finanzierungsplan!G16&gt;=$M$4),0,Finanzierungsplan!W18/Finanzierungsplan!H16)</f>
        <v>0</v>
      </c>
    </row>
    <row r="20" spans="1:13" ht="21.95" customHeight="1" x14ac:dyDescent="0.25">
      <c r="A20" s="133"/>
      <c r="B20" s="131"/>
      <c r="C20" s="718"/>
      <c r="D20" s="718"/>
      <c r="E20" s="718"/>
      <c r="F20" s="718"/>
      <c r="G20" s="718"/>
      <c r="H20" s="718"/>
      <c r="I20" s="718"/>
      <c r="J20" s="718"/>
      <c r="K20" s="718"/>
      <c r="L20" s="718"/>
      <c r="M20" s="718"/>
    </row>
    <row r="21" spans="1:13" ht="21.95" customHeight="1" x14ac:dyDescent="0.25">
      <c r="A21" s="127" t="s">
        <v>32</v>
      </c>
      <c r="B21" s="128" t="s">
        <v>24</v>
      </c>
      <c r="C21" s="717">
        <f>IF(Finanzierungsplan!F17&gt;=$C$4,0,((Finanzierungsplan!W19-(C22/2)-SUM(B22))*Finanzierungsplan!D17))</f>
        <v>0</v>
      </c>
      <c r="D21" s="717">
        <f>IF(Finanzierungsplan!F17&gt;=$D$4,0,(Finanzierungsplan!W19-D22/2-SUM(B22:C22))*Finanzierungsplan!D17)</f>
        <v>0</v>
      </c>
      <c r="E21" s="717">
        <f>IF(Finanzierungsplan!F17&gt;=$E$4,0,(Finanzierungsplan!W19-E22/2-SUM(B22:D22))*Finanzierungsplan!D17)</f>
        <v>0</v>
      </c>
      <c r="F21" s="717">
        <f>IF(Finanzierungsplan!F17&gt;=$F$4,0,(Finanzierungsplan!W19-F22/2-SUM(B22:E22))*Finanzierungsplan!D17)</f>
        <v>0</v>
      </c>
      <c r="G21" s="717">
        <f>IF(Finanzierungsplan!F17&gt;=$G$4,0,(Finanzierungsplan!W19-G22/2-SUM(C22:F22))*Finanzierungsplan!D17)</f>
        <v>0</v>
      </c>
      <c r="H21" s="717">
        <f>IF(Finanzierungsplan!F17&gt;=$H$4,0,(Finanzierungsplan!W19-H22/2-SUM(C22:G22))*Finanzierungsplan!D17)</f>
        <v>0</v>
      </c>
      <c r="I21" s="717">
        <f>IF(Finanzierungsplan!F17&gt;=$I$4,0,(Finanzierungsplan!W19-I22/2-SUM(C22:H22))*Finanzierungsplan!D17)</f>
        <v>0</v>
      </c>
      <c r="J21" s="717">
        <f>IF(Finanzierungsplan!F17&gt;=$J$4,0,(Finanzierungsplan!W19-J22/2-SUM(C22:I22))*Finanzierungsplan!D17)</f>
        <v>0</v>
      </c>
      <c r="K21" s="717">
        <f>IF(Finanzierungsplan!F17&gt;=$K$4,0,(Finanzierungsplan!W19-K22/2-SUM(C22:J22))*Finanzierungsplan!D17)</f>
        <v>0</v>
      </c>
      <c r="L21" s="717">
        <f>IF(Finanzierungsplan!F17&gt;=$L$4,0,(Finanzierungsplan!W19-L22/2-SUM(C22:K22))*Finanzierungsplan!D17)</f>
        <v>0</v>
      </c>
      <c r="M21" s="717">
        <f>IF(Finanzierungsplan!F17&gt;=$M$4,0,(Finanzierungsplan!W19-M22/2-SUM(C22:L22))*Finanzierungsplan!D17)</f>
        <v>0</v>
      </c>
    </row>
    <row r="22" spans="1:13" ht="21.95" customHeight="1" x14ac:dyDescent="0.25">
      <c r="A22" s="129" t="s">
        <v>55</v>
      </c>
      <c r="B22" s="128" t="s">
        <v>53</v>
      </c>
      <c r="C22" s="717">
        <v>0</v>
      </c>
      <c r="D22" s="717">
        <f>IF(OR(SUM($C22:C22)=Finanzierungsplan!W19,Finanzierungsplan!G17&gt;=$D$4),0,Finanzierungsplan!W19/Finanzierungsplan!H17)</f>
        <v>0</v>
      </c>
      <c r="E22" s="717">
        <f>IF(OR(SUM($C22:D22)=Finanzierungsplan!W19,Finanzierungsplan!G17&gt;=$D$4),0,Finanzierungsplan!W19/Finanzierungsplan!H17)</f>
        <v>0</v>
      </c>
      <c r="F22" s="717">
        <f>IF(OR(SUM($C22:E22)=Finanzierungsplan!W19,Finanzierungsplan!G17&gt;=$D$4),0,Finanzierungsplan!W19/Finanzierungsplan!H17)</f>
        <v>0</v>
      </c>
      <c r="G22" s="717">
        <f>IF(OR(SUM($C22:F22)=Finanzierungsplan!W19,Finanzierungsplan!G17&gt;=$D$4),0,Finanzierungsplan!W19/Finanzierungsplan!H17)</f>
        <v>0</v>
      </c>
      <c r="H22" s="717">
        <f>IF(OR(SUM($C22:G22)=Finanzierungsplan!W19,Finanzierungsplan!G17&gt;=$D$4),0,Finanzierungsplan!W19/Finanzierungsplan!H17)</f>
        <v>0</v>
      </c>
      <c r="I22" s="717">
        <f>IF(OR(SUM($C22:H22)=Finanzierungsplan!W19,Finanzierungsplan!G17&gt;=$D$4),0,Finanzierungsplan!W19/Finanzierungsplan!H17)</f>
        <v>0</v>
      </c>
      <c r="J22" s="717">
        <f>IF(OR(SUM($C22:I22)=Finanzierungsplan!W19,Finanzierungsplan!G17&gt;=$D$4),0,Finanzierungsplan!W19/Finanzierungsplan!H17)</f>
        <v>0</v>
      </c>
      <c r="K22" s="717">
        <f>IF(OR(SUM($C22:J22)=Finanzierungsplan!W19,Finanzierungsplan!G17&gt;=$D$4),0,Finanzierungsplan!W19/Finanzierungsplan!H17)</f>
        <v>0</v>
      </c>
      <c r="L22" s="717">
        <f>IF(OR(SUM($C22:K22)=Finanzierungsplan!W19,Finanzierungsplan!G17&gt;=$D$4),0,Finanzierungsplan!W19/Finanzierungsplan!H17)</f>
        <v>0</v>
      </c>
      <c r="M22" s="717">
        <f>IF(OR(SUM($C22:L22)=Finanzierungsplan!W19,Finanzierungsplan!G17&gt;=$D$4),0,Finanzierungsplan!W19/Finanzierungsplan!H17)</f>
        <v>0</v>
      </c>
    </row>
    <row r="23" spans="1:13" ht="21.95" customHeight="1" x14ac:dyDescent="0.25">
      <c r="A23" s="133"/>
      <c r="B23" s="131"/>
      <c r="C23" s="718"/>
      <c r="D23" s="718"/>
      <c r="E23" s="718"/>
      <c r="F23" s="718"/>
      <c r="G23" s="718"/>
      <c r="H23" s="718"/>
      <c r="I23" s="718"/>
      <c r="J23" s="718"/>
      <c r="K23" s="718"/>
      <c r="L23" s="718"/>
      <c r="M23" s="718"/>
    </row>
    <row r="24" spans="1:13" ht="21.95" customHeight="1" x14ac:dyDescent="0.25">
      <c r="A24" s="127" t="s">
        <v>33</v>
      </c>
      <c r="B24" s="128" t="s">
        <v>24</v>
      </c>
      <c r="C24" s="717">
        <f>Finanzierungsplan!Q36</f>
        <v>1000</v>
      </c>
      <c r="D24" s="717">
        <f>Finanzierungsplan!R36</f>
        <v>920</v>
      </c>
      <c r="E24" s="717">
        <f>Finanzierungsplan!S36</f>
        <v>836</v>
      </c>
      <c r="F24" s="717">
        <f>Finanzierungsplan!T36</f>
        <v>747.8</v>
      </c>
      <c r="G24" s="717">
        <f>Finanzierungsplan!U36</f>
        <v>655.19000000000005</v>
      </c>
      <c r="H24" s="717">
        <f>Finanzierungsplan!V36</f>
        <v>557.94949999999994</v>
      </c>
      <c r="I24" s="717">
        <f>Finanzierungsplan!W36</f>
        <v>455.84697500000004</v>
      </c>
      <c r="J24" s="717">
        <f>Finanzierungsplan!X36</f>
        <v>348.63932375000002</v>
      </c>
      <c r="K24" s="717">
        <f>Finanzierungsplan!Y36</f>
        <v>236.07128993750004</v>
      </c>
      <c r="L24" s="717">
        <f>Finanzierungsplan!Z36</f>
        <v>117.87485443437501</v>
      </c>
      <c r="M24" s="717">
        <f>Finanzierungsplan!AA36</f>
        <v>0</v>
      </c>
    </row>
    <row r="25" spans="1:13" ht="21.95" customHeight="1" x14ac:dyDescent="0.25">
      <c r="A25" s="129" t="s">
        <v>55</v>
      </c>
      <c r="B25" s="128" t="s">
        <v>53</v>
      </c>
      <c r="C25" s="717">
        <f>Finanzierungsplan!Q37</f>
        <v>1600</v>
      </c>
      <c r="D25" s="717">
        <f>Finanzierungsplan!R37</f>
        <v>1680</v>
      </c>
      <c r="E25" s="717">
        <f>Finanzierungsplan!S37</f>
        <v>1764</v>
      </c>
      <c r="F25" s="717">
        <f>Finanzierungsplan!T37</f>
        <v>1852.2</v>
      </c>
      <c r="G25" s="717">
        <f>Finanzierungsplan!U37</f>
        <v>1944.81</v>
      </c>
      <c r="H25" s="717">
        <f>Finanzierungsplan!V37</f>
        <v>2042.0505000000001</v>
      </c>
      <c r="I25" s="717">
        <f>Finanzierungsplan!W37</f>
        <v>2144.1530250000001</v>
      </c>
      <c r="J25" s="717">
        <f>Finanzierungsplan!X37</f>
        <v>2251.3606762499999</v>
      </c>
      <c r="K25" s="717">
        <f>Finanzierungsplan!Y37</f>
        <v>2363.9287100625002</v>
      </c>
      <c r="L25" s="717">
        <f>Finanzierungsplan!Z37</f>
        <v>2357.4970886875003</v>
      </c>
      <c r="M25" s="717">
        <f>Finanzierungsplan!AA37</f>
        <v>0</v>
      </c>
    </row>
    <row r="26" spans="1:13" ht="21.95" customHeight="1" x14ac:dyDescent="0.25">
      <c r="A26" s="133"/>
      <c r="B26" s="131"/>
      <c r="C26" s="718"/>
      <c r="D26" s="718"/>
      <c r="E26" s="718"/>
      <c r="F26" s="718"/>
      <c r="G26" s="718"/>
      <c r="H26" s="718"/>
      <c r="I26" s="718"/>
      <c r="J26" s="718"/>
      <c r="K26" s="718"/>
      <c r="L26" s="718"/>
      <c r="M26" s="718"/>
    </row>
    <row r="27" spans="1:13" ht="21.95" customHeight="1" x14ac:dyDescent="0.25">
      <c r="A27" s="127" t="s">
        <v>34</v>
      </c>
      <c r="B27" s="128" t="s">
        <v>24</v>
      </c>
      <c r="C27" s="717">
        <f>IF(Finanzierungsplan!F19&gt;=$C$4,0,((Finanzierungsplan!W22-(C28/2)-SUM(B28))*Finanzierungsplan!D19))</f>
        <v>0</v>
      </c>
      <c r="D27" s="717">
        <f>IF(Finanzierungsplan!F19&gt;=$D$4,0,(Finanzierungsplan!W22-D28/2-SUM(B28:C28))*Finanzierungsplan!D19)</f>
        <v>0</v>
      </c>
      <c r="E27" s="717">
        <f>IF(Finanzierungsplan!F19&gt;=$E$4,0,(Finanzierungsplan!W22-E28/2-SUM(C28:D28))*Finanzierungsplan!D19)</f>
        <v>0</v>
      </c>
      <c r="F27" s="717">
        <f>IF(Finanzierungsplan!F19&gt;=$F$4,0,(Finanzierungsplan!W22-F28/2-SUM(C28:E28))*Finanzierungsplan!D19)</f>
        <v>0</v>
      </c>
      <c r="G27" s="717">
        <f>IF(Finanzierungsplan!F19&gt;=$G$4,0,(Finanzierungsplan!W22-G28/2-SUM(C28:F28))*Finanzierungsplan!D19)</f>
        <v>0</v>
      </c>
      <c r="H27" s="717">
        <f>IF(Finanzierungsplan!F19&gt;=$H$4,0,(Finanzierungsplan!W22-H28/2-SUM(C28:G28))*Finanzierungsplan!D19)</f>
        <v>0</v>
      </c>
      <c r="I27" s="717">
        <f>IF(Finanzierungsplan!F19&gt;=$I$4,0,(Finanzierungsplan!W22-I28/2-SUM(C28:H28))*Finanzierungsplan!D19)</f>
        <v>0</v>
      </c>
      <c r="J27" s="717">
        <f>IF(Finanzierungsplan!F19&gt;=$J$4,0,(Finanzierungsplan!W22-J28/2-SUM(C28:I28))*Finanzierungsplan!D19)</f>
        <v>0</v>
      </c>
      <c r="K27" s="717">
        <f>IF(Finanzierungsplan!F19&gt;=$K$4,0,(Finanzierungsplan!W22-K28/2-SUM(C28:J28))*Finanzierungsplan!D19)</f>
        <v>0</v>
      </c>
      <c r="L27" s="717">
        <f>IF(Finanzierungsplan!F19&gt;=$L$4,0,(Finanzierungsplan!W22-L28/2-SUM(C28:K28))*Finanzierungsplan!D19)</f>
        <v>0</v>
      </c>
      <c r="M27" s="717">
        <f>IF(Finanzierungsplan!F19&gt;=$M$4,0,(Finanzierungsplan!W22-M28/2-SUM(C28:L28))*Finanzierungsplan!D19)</f>
        <v>0</v>
      </c>
    </row>
    <row r="28" spans="1:13" ht="21.95" customHeight="1" x14ac:dyDescent="0.25">
      <c r="A28" s="134" t="s">
        <v>55</v>
      </c>
      <c r="B28" s="135" t="s">
        <v>53</v>
      </c>
      <c r="C28" s="717">
        <v>0</v>
      </c>
      <c r="D28" s="717">
        <v>0</v>
      </c>
      <c r="E28" s="717">
        <v>0</v>
      </c>
      <c r="F28" s="717">
        <v>0</v>
      </c>
      <c r="G28" s="717">
        <v>0</v>
      </c>
      <c r="H28" s="717">
        <v>0</v>
      </c>
      <c r="I28" s="717">
        <v>0</v>
      </c>
      <c r="J28" s="717">
        <v>0</v>
      </c>
      <c r="K28" s="717">
        <v>0</v>
      </c>
      <c r="L28" s="717">
        <v>0</v>
      </c>
      <c r="M28" s="717">
        <v>0</v>
      </c>
    </row>
    <row r="29" spans="1:13" ht="21.95" customHeight="1" x14ac:dyDescent="0.25">
      <c r="A29" s="136" t="s">
        <v>56</v>
      </c>
      <c r="B29" s="137" t="s">
        <v>57</v>
      </c>
      <c r="C29" s="721">
        <f>C6+C9+C12+C15+C18+C21+C27+C24</f>
        <v>4020</v>
      </c>
      <c r="D29" s="722">
        <f>D6+D9+D12+D15+D18+D21+D27+D24</f>
        <v>3940</v>
      </c>
      <c r="E29" s="722">
        <f>E6+E9+E12+E15+E18+E21+E27+E24</f>
        <v>3667.25</v>
      </c>
      <c r="F29" s="722">
        <f>F6+F9+F12+F15+F18+F21+F27+F24</f>
        <v>3201.55</v>
      </c>
      <c r="G29" s="722">
        <f t="shared" ref="G29:M29" si="0">G6+G9+G12+G15+G18+G21+G27+G24</f>
        <v>2731.44</v>
      </c>
      <c r="H29" s="722">
        <f t="shared" si="0"/>
        <v>2256.6994999999997</v>
      </c>
      <c r="I29" s="722">
        <f t="shared" si="0"/>
        <v>1777.0969749999999</v>
      </c>
      <c r="J29" s="722">
        <f t="shared" si="0"/>
        <v>1292.3893237500001</v>
      </c>
      <c r="K29" s="722">
        <f>K6+K9+K12+K15+K18+K21+K27+K24</f>
        <v>802.32128993750007</v>
      </c>
      <c r="L29" s="722">
        <f>L6+L9+L12+L15+L18+L21+L27+L24</f>
        <v>306.62485443437504</v>
      </c>
      <c r="M29" s="722">
        <f t="shared" si="0"/>
        <v>0</v>
      </c>
    </row>
    <row r="30" spans="1:13" ht="21.95" customHeight="1" x14ac:dyDescent="0.25">
      <c r="A30" s="138" t="s">
        <v>58</v>
      </c>
      <c r="B30" s="139" t="s">
        <v>57</v>
      </c>
      <c r="C30" s="721">
        <f>C7+C10+C13+C16+C22+C28+C19+C25</f>
        <v>1600</v>
      </c>
      <c r="D30" s="722">
        <f t="shared" ref="D30:M30" si="1">D7+D10+D13+D16+D22+D28+D19+D25</f>
        <v>1680</v>
      </c>
      <c r="E30" s="722">
        <f t="shared" si="1"/>
        <v>14264</v>
      </c>
      <c r="F30" s="722">
        <f t="shared" si="1"/>
        <v>14352.2</v>
      </c>
      <c r="G30" s="722">
        <f t="shared" si="1"/>
        <v>14444.81</v>
      </c>
      <c r="H30" s="722">
        <f t="shared" si="1"/>
        <v>14542.050499999999</v>
      </c>
      <c r="I30" s="722">
        <f t="shared" si="1"/>
        <v>14644.153025</v>
      </c>
      <c r="J30" s="722">
        <f t="shared" si="1"/>
        <v>14751.36067625</v>
      </c>
      <c r="K30" s="722">
        <f t="shared" si="1"/>
        <v>14863.928710062501</v>
      </c>
      <c r="L30" s="722">
        <f t="shared" si="1"/>
        <v>14857.4970886875</v>
      </c>
      <c r="M30" s="722">
        <f t="shared" si="1"/>
        <v>0</v>
      </c>
    </row>
    <row r="31" spans="1:13" ht="21.95" customHeight="1" x14ac:dyDescent="0.25">
      <c r="A31" s="140"/>
      <c r="B31" s="140"/>
      <c r="C31" s="718"/>
      <c r="D31" s="718"/>
      <c r="E31" s="718"/>
      <c r="F31" s="718"/>
      <c r="G31" s="718"/>
      <c r="H31" s="718"/>
      <c r="I31" s="718"/>
      <c r="J31" s="718"/>
      <c r="K31" s="718"/>
      <c r="L31" s="718"/>
      <c r="M31" s="718"/>
    </row>
    <row r="32" spans="1:13" ht="21.95" customHeight="1" x14ac:dyDescent="0.25">
      <c r="A32" s="606" t="s">
        <v>59</v>
      </c>
      <c r="B32" s="140"/>
      <c r="C32" s="718"/>
      <c r="D32" s="718"/>
      <c r="E32" s="718"/>
      <c r="F32" s="718"/>
      <c r="G32" s="718"/>
      <c r="H32" s="718"/>
      <c r="I32" s="718"/>
      <c r="J32" s="718"/>
      <c r="K32" s="718"/>
      <c r="L32" s="718"/>
      <c r="M32" s="718"/>
    </row>
    <row r="33" spans="1:13" ht="21.95" customHeight="1" x14ac:dyDescent="0.25">
      <c r="A33" s="140"/>
      <c r="B33" s="140"/>
      <c r="C33" s="718"/>
      <c r="D33" s="718"/>
      <c r="E33" s="718"/>
      <c r="F33" s="718"/>
      <c r="G33" s="718"/>
      <c r="H33" s="718"/>
      <c r="I33" s="718"/>
      <c r="J33" s="718"/>
      <c r="K33" s="718"/>
      <c r="L33" s="718"/>
      <c r="M33" s="718"/>
    </row>
    <row r="34" spans="1:13" ht="21.95" customHeight="1" x14ac:dyDescent="0.25">
      <c r="A34" s="141" t="s">
        <v>60</v>
      </c>
      <c r="B34" s="142" t="s">
        <v>57</v>
      </c>
      <c r="C34" s="723">
        <f>ROUND(C29+C30,-2)</f>
        <v>5600</v>
      </c>
      <c r="D34" s="723">
        <f>ROUND(D29+D30,-2)</f>
        <v>5600</v>
      </c>
      <c r="E34" s="723">
        <f t="shared" ref="E34:M34" si="2">ROUND(E29+E30,-2)</f>
        <v>17900</v>
      </c>
      <c r="F34" s="723">
        <f t="shared" si="2"/>
        <v>17600</v>
      </c>
      <c r="G34" s="723">
        <f t="shared" si="2"/>
        <v>17200</v>
      </c>
      <c r="H34" s="723">
        <f t="shared" si="2"/>
        <v>16800</v>
      </c>
      <c r="I34" s="723">
        <f t="shared" si="2"/>
        <v>16400</v>
      </c>
      <c r="J34" s="723">
        <f t="shared" si="2"/>
        <v>16000</v>
      </c>
      <c r="K34" s="723">
        <f t="shared" si="2"/>
        <v>15700</v>
      </c>
      <c r="L34" s="723">
        <f t="shared" si="2"/>
        <v>15200</v>
      </c>
      <c r="M34" s="723">
        <f t="shared" si="2"/>
        <v>0</v>
      </c>
    </row>
    <row r="35" spans="1:13" ht="21.95" customHeight="1" x14ac:dyDescent="0.25">
      <c r="A35" s="143" t="s">
        <v>61</v>
      </c>
      <c r="B35" s="144" t="s">
        <v>57</v>
      </c>
      <c r="C35" s="723">
        <f>ROUND(C34/12,2)</f>
        <v>466.67</v>
      </c>
      <c r="D35" s="723">
        <f t="shared" ref="D35:M35" si="3">ROUND(D34/12,2)</f>
        <v>466.67</v>
      </c>
      <c r="E35" s="723">
        <f t="shared" si="3"/>
        <v>1491.67</v>
      </c>
      <c r="F35" s="723">
        <f t="shared" si="3"/>
        <v>1466.67</v>
      </c>
      <c r="G35" s="723">
        <f t="shared" si="3"/>
        <v>1433.33</v>
      </c>
      <c r="H35" s="723">
        <f t="shared" si="3"/>
        <v>1400</v>
      </c>
      <c r="I35" s="723">
        <f t="shared" si="3"/>
        <v>1366.67</v>
      </c>
      <c r="J35" s="723">
        <f t="shared" si="3"/>
        <v>1333.33</v>
      </c>
      <c r="K35" s="723">
        <f t="shared" si="3"/>
        <v>1308.33</v>
      </c>
      <c r="L35" s="723">
        <f t="shared" si="3"/>
        <v>1266.67</v>
      </c>
      <c r="M35" s="723">
        <f t="shared" si="3"/>
        <v>0</v>
      </c>
    </row>
    <row r="36" spans="1:13" ht="21.95" customHeight="1" x14ac:dyDescent="0.2">
      <c r="A36" s="724"/>
      <c r="B36" s="724"/>
      <c r="C36" s="724"/>
      <c r="D36" s="724"/>
      <c r="E36" s="724"/>
      <c r="F36" s="724"/>
      <c r="G36" s="724"/>
      <c r="H36" s="724"/>
      <c r="I36" s="724"/>
      <c r="J36" s="724"/>
      <c r="K36" s="724"/>
      <c r="L36" s="724"/>
      <c r="M36" s="724"/>
    </row>
    <row r="37" spans="1:13" ht="21.95" customHeight="1" x14ac:dyDescent="0.2">
      <c r="A37" s="724"/>
      <c r="B37" s="724"/>
      <c r="C37" s="724"/>
      <c r="D37" s="724"/>
      <c r="E37" s="724"/>
      <c r="F37" s="724"/>
      <c r="G37" s="724"/>
      <c r="H37" s="724"/>
      <c r="I37" s="724"/>
      <c r="J37" s="724"/>
      <c r="K37" s="724"/>
      <c r="L37" s="724"/>
      <c r="M37" s="724"/>
    </row>
    <row r="38" spans="1:13" ht="21.95" customHeight="1" x14ac:dyDescent="0.2">
      <c r="A38" s="724"/>
      <c r="B38" s="724"/>
      <c r="C38" s="724"/>
      <c r="D38" s="724"/>
      <c r="E38" s="724"/>
      <c r="F38" s="724"/>
      <c r="G38" s="724"/>
      <c r="H38" s="724"/>
      <c r="I38" s="724"/>
      <c r="J38" s="724"/>
      <c r="K38" s="724"/>
      <c r="L38" s="724"/>
      <c r="M38" s="724"/>
    </row>
    <row r="39" spans="1:13" ht="21.95" customHeight="1" x14ac:dyDescent="0.2">
      <c r="A39" s="724"/>
      <c r="B39" s="724"/>
      <c r="C39" s="724"/>
      <c r="D39" s="724"/>
      <c r="E39" s="724"/>
      <c r="F39" s="724"/>
      <c r="G39" s="724"/>
      <c r="H39" s="724"/>
      <c r="I39" s="724"/>
      <c r="J39" s="724"/>
      <c r="K39" s="724"/>
      <c r="L39" s="724"/>
      <c r="M39" s="724"/>
    </row>
    <row r="40" spans="1:13" ht="21.95" customHeight="1" x14ac:dyDescent="0.2">
      <c r="A40" s="724"/>
      <c r="B40" s="724"/>
      <c r="C40" s="724"/>
      <c r="D40" s="724"/>
      <c r="E40" s="724"/>
      <c r="F40" s="724"/>
      <c r="G40" s="724"/>
      <c r="H40" s="724"/>
      <c r="I40" s="724"/>
      <c r="J40" s="724"/>
      <c r="K40" s="724"/>
      <c r="L40" s="724"/>
      <c r="M40" s="724"/>
    </row>
    <row r="41" spans="1:13" ht="21.95" customHeight="1" x14ac:dyDescent="0.2">
      <c r="A41" s="724"/>
      <c r="B41" s="724"/>
      <c r="C41" s="724"/>
      <c r="D41" s="724"/>
      <c r="E41" s="724"/>
      <c r="F41" s="724"/>
      <c r="G41" s="724"/>
      <c r="H41" s="724"/>
      <c r="I41" s="724"/>
      <c r="J41" s="724"/>
      <c r="K41" s="724"/>
      <c r="L41" s="724"/>
      <c r="M41" s="724"/>
    </row>
    <row r="42" spans="1:13" ht="21.95" customHeight="1" x14ac:dyDescent="0.2">
      <c r="A42" s="724"/>
      <c r="B42" s="724"/>
      <c r="C42" s="724"/>
      <c r="D42" s="724"/>
      <c r="E42" s="724"/>
      <c r="F42" s="724"/>
      <c r="G42" s="724"/>
      <c r="H42" s="724"/>
      <c r="I42" s="724"/>
      <c r="J42" s="724"/>
      <c r="K42" s="724"/>
      <c r="L42" s="724"/>
      <c r="M42" s="724"/>
    </row>
    <row r="43" spans="1:13" ht="21.95" customHeight="1" x14ac:dyDescent="0.2">
      <c r="A43" s="724"/>
      <c r="B43" s="724"/>
      <c r="C43" s="724"/>
      <c r="D43" s="724"/>
      <c r="E43" s="724"/>
      <c r="F43" s="724"/>
      <c r="G43" s="724"/>
      <c r="H43" s="724"/>
      <c r="I43" s="724"/>
      <c r="J43" s="724"/>
      <c r="K43" s="724"/>
      <c r="L43" s="724"/>
      <c r="M43" s="724"/>
    </row>
    <row r="44" spans="1:13" ht="21.95" customHeight="1" x14ac:dyDescent="0.2">
      <c r="A44" s="724"/>
      <c r="B44" s="724"/>
      <c r="C44" s="724"/>
      <c r="D44" s="724"/>
      <c r="E44" s="724"/>
      <c r="F44" s="724"/>
      <c r="G44" s="724"/>
      <c r="H44" s="724"/>
      <c r="I44" s="724"/>
      <c r="J44" s="724"/>
      <c r="K44" s="724"/>
      <c r="L44" s="724"/>
      <c r="M44" s="724"/>
    </row>
    <row r="45" spans="1:13" ht="21.95" customHeight="1" x14ac:dyDescent="0.2">
      <c r="A45" s="724"/>
      <c r="B45" s="724"/>
      <c r="C45" s="724"/>
      <c r="D45" s="724"/>
      <c r="E45" s="724"/>
      <c r="F45" s="724"/>
      <c r="G45" s="724"/>
      <c r="H45" s="724"/>
      <c r="I45" s="724"/>
      <c r="J45" s="724"/>
      <c r="K45" s="724"/>
      <c r="L45" s="724"/>
      <c r="M45" s="724"/>
    </row>
    <row r="46" spans="1:13" ht="21.95" customHeight="1" x14ac:dyDescent="0.2">
      <c r="A46" s="724"/>
      <c r="B46" s="724"/>
      <c r="C46" s="724"/>
      <c r="D46" s="724"/>
      <c r="E46" s="724"/>
      <c r="F46" s="724"/>
      <c r="G46" s="724"/>
      <c r="H46" s="724"/>
      <c r="I46" s="724"/>
      <c r="J46" s="724"/>
      <c r="K46" s="724"/>
      <c r="L46" s="724"/>
      <c r="M46" s="724"/>
    </row>
    <row r="47" spans="1:13" ht="21.95" customHeight="1" x14ac:dyDescent="0.2">
      <c r="A47" s="724"/>
      <c r="B47" s="724"/>
      <c r="C47" s="724"/>
      <c r="D47" s="724"/>
      <c r="E47" s="724"/>
      <c r="F47" s="724"/>
      <c r="G47" s="724"/>
      <c r="H47" s="724"/>
      <c r="I47" s="724"/>
      <c r="J47" s="724"/>
      <c r="K47" s="724"/>
      <c r="L47" s="724"/>
      <c r="M47" s="724"/>
    </row>
    <row r="48" spans="1:13" ht="21.95" customHeight="1" x14ac:dyDescent="0.2">
      <c r="A48" s="724"/>
      <c r="B48" s="724"/>
      <c r="C48" s="724"/>
      <c r="D48" s="724"/>
      <c r="E48" s="724"/>
      <c r="F48" s="724"/>
      <c r="G48" s="724"/>
      <c r="H48" s="724"/>
      <c r="I48" s="724"/>
      <c r="J48" s="724"/>
      <c r="K48" s="724"/>
      <c r="L48" s="724"/>
      <c r="M48" s="724"/>
    </row>
    <row r="49" spans="1:13" ht="21.95" customHeight="1" x14ac:dyDescent="0.2">
      <c r="A49" s="724"/>
      <c r="B49" s="724"/>
      <c r="C49" s="724"/>
      <c r="D49" s="724"/>
      <c r="E49" s="724"/>
      <c r="F49" s="724"/>
      <c r="G49" s="724"/>
      <c r="H49" s="724"/>
      <c r="I49" s="724"/>
      <c r="J49" s="724"/>
      <c r="K49" s="724"/>
      <c r="L49" s="724"/>
      <c r="M49" s="724"/>
    </row>
    <row r="50" spans="1:13" ht="21.95" customHeight="1" x14ac:dyDescent="0.2">
      <c r="A50" s="724"/>
      <c r="B50" s="724"/>
      <c r="C50" s="724"/>
      <c r="D50" s="724"/>
      <c r="E50" s="724"/>
      <c r="F50" s="724"/>
      <c r="G50" s="724"/>
      <c r="H50" s="724"/>
      <c r="I50" s="724"/>
      <c r="J50" s="724"/>
      <c r="K50" s="724"/>
      <c r="L50" s="724"/>
      <c r="M50" s="724"/>
    </row>
    <row r="51" spans="1:13" ht="21.95" customHeight="1" x14ac:dyDescent="0.2">
      <c r="A51" s="724"/>
      <c r="B51" s="724"/>
      <c r="C51" s="724"/>
      <c r="D51" s="724"/>
      <c r="E51" s="724"/>
      <c r="F51" s="724"/>
      <c r="G51" s="724"/>
      <c r="H51" s="724"/>
      <c r="I51" s="724"/>
      <c r="J51" s="724"/>
      <c r="K51" s="724"/>
      <c r="L51" s="724"/>
      <c r="M51" s="724"/>
    </row>
    <row r="52" spans="1:13" ht="21.95" customHeight="1" x14ac:dyDescent="0.2">
      <c r="A52" s="724"/>
      <c r="B52" s="724"/>
      <c r="C52" s="724"/>
      <c r="D52" s="724"/>
      <c r="E52" s="724"/>
      <c r="F52" s="724"/>
      <c r="G52" s="724"/>
      <c r="H52" s="724"/>
      <c r="I52" s="724"/>
      <c r="J52" s="724"/>
      <c r="K52" s="724"/>
      <c r="L52" s="724"/>
      <c r="M52" s="724"/>
    </row>
    <row r="53" spans="1:13" ht="21.95" customHeight="1" x14ac:dyDescent="0.2">
      <c r="A53" s="724"/>
      <c r="B53" s="724"/>
      <c r="C53" s="724"/>
      <c r="D53" s="724"/>
      <c r="E53" s="724"/>
      <c r="F53" s="724"/>
      <c r="G53" s="724"/>
      <c r="H53" s="724"/>
      <c r="I53" s="724"/>
      <c r="J53" s="724"/>
      <c r="K53" s="724"/>
      <c r="L53" s="724"/>
      <c r="M53" s="724"/>
    </row>
    <row r="54" spans="1:13" ht="21.95" customHeight="1" x14ac:dyDescent="0.2">
      <c r="A54" s="724"/>
      <c r="B54" s="724"/>
      <c r="C54" s="724"/>
      <c r="D54" s="724"/>
      <c r="E54" s="724"/>
      <c r="F54" s="724"/>
      <c r="G54" s="724"/>
      <c r="H54" s="724"/>
      <c r="I54" s="724"/>
      <c r="J54" s="724"/>
      <c r="K54" s="724"/>
      <c r="L54" s="724"/>
      <c r="M54" s="724"/>
    </row>
    <row r="55" spans="1:13" ht="21.95" customHeight="1" x14ac:dyDescent="0.2">
      <c r="A55" s="724"/>
      <c r="B55" s="724"/>
      <c r="C55" s="724"/>
      <c r="D55" s="724"/>
      <c r="E55" s="724"/>
      <c r="F55" s="724"/>
      <c r="G55" s="724"/>
      <c r="H55" s="724"/>
      <c r="I55" s="724"/>
      <c r="J55" s="724"/>
      <c r="K55" s="724"/>
      <c r="L55" s="724"/>
      <c r="M55" s="724"/>
    </row>
    <row r="56" spans="1:13" ht="21.95" customHeight="1" x14ac:dyDescent="0.2">
      <c r="A56" s="724"/>
      <c r="B56" s="724"/>
      <c r="C56" s="724"/>
      <c r="D56" s="724"/>
      <c r="E56" s="724"/>
      <c r="F56" s="724"/>
      <c r="G56" s="724"/>
      <c r="H56" s="724"/>
      <c r="I56" s="724"/>
      <c r="J56" s="724"/>
      <c r="K56" s="724"/>
      <c r="L56" s="724"/>
      <c r="M56" s="724"/>
    </row>
    <row r="57" spans="1:13" ht="21.95" customHeight="1" x14ac:dyDescent="0.2">
      <c r="A57" s="724"/>
      <c r="B57" s="724"/>
      <c r="C57" s="724"/>
      <c r="D57" s="724"/>
      <c r="E57" s="724"/>
      <c r="F57" s="724"/>
      <c r="G57" s="724"/>
      <c r="H57" s="724"/>
      <c r="I57" s="724"/>
      <c r="J57" s="724"/>
      <c r="K57" s="724"/>
      <c r="L57" s="724"/>
      <c r="M57" s="724"/>
    </row>
    <row r="58" spans="1:13" ht="21.95" customHeight="1" x14ac:dyDescent="0.2">
      <c r="A58" s="724"/>
      <c r="B58" s="724"/>
      <c r="C58" s="724"/>
      <c r="D58" s="724"/>
      <c r="E58" s="724"/>
      <c r="F58" s="724"/>
      <c r="G58" s="724"/>
      <c r="H58" s="724"/>
      <c r="I58" s="724"/>
      <c r="J58" s="724"/>
      <c r="K58" s="724"/>
      <c r="L58" s="724"/>
      <c r="M58" s="724"/>
    </row>
    <row r="59" spans="1:13" ht="21.95" customHeight="1" x14ac:dyDescent="0.2">
      <c r="A59" s="724"/>
      <c r="B59" s="724"/>
      <c r="C59" s="724"/>
      <c r="D59" s="724"/>
      <c r="E59" s="724"/>
      <c r="F59" s="724"/>
      <c r="G59" s="724"/>
      <c r="H59" s="724"/>
      <c r="I59" s="724"/>
      <c r="J59" s="724"/>
      <c r="K59" s="724"/>
      <c r="L59" s="724"/>
      <c r="M59" s="724"/>
    </row>
    <row r="60" spans="1:13" ht="21.95" customHeight="1" x14ac:dyDescent="0.2">
      <c r="A60" s="724"/>
      <c r="B60" s="724"/>
      <c r="C60" s="724"/>
      <c r="D60" s="724"/>
      <c r="E60" s="724"/>
      <c r="F60" s="724"/>
      <c r="G60" s="724"/>
      <c r="H60" s="724"/>
      <c r="I60" s="724"/>
      <c r="J60" s="724"/>
      <c r="K60" s="724"/>
      <c r="L60" s="724"/>
      <c r="M60" s="724"/>
    </row>
    <row r="61" spans="1:13" ht="21.95" customHeight="1" x14ac:dyDescent="0.2">
      <c r="A61" s="724"/>
      <c r="B61" s="724"/>
      <c r="C61" s="724"/>
      <c r="D61" s="724"/>
      <c r="E61" s="724"/>
      <c r="F61" s="724"/>
      <c r="G61" s="724"/>
      <c r="H61" s="724"/>
      <c r="I61" s="724"/>
      <c r="J61" s="724"/>
      <c r="K61" s="724"/>
      <c r="L61" s="724"/>
      <c r="M61" s="724"/>
    </row>
    <row r="62" spans="1:13" ht="21.95" customHeight="1" x14ac:dyDescent="0.2"/>
    <row r="63" spans="1:13" ht="21.95" customHeight="1" x14ac:dyDescent="0.2"/>
    <row r="64" spans="1:13" ht="21.95" customHeight="1" x14ac:dyDescent="0.2"/>
    <row r="65" ht="21.95" customHeight="1" x14ac:dyDescent="0.2"/>
  </sheetData>
  <sheetProtection password="C12A" sheet="1" objects="1" scenarios="1" selectLockedCells="1" selectUnlockedCells="1"/>
  <mergeCells count="1">
    <mergeCell ref="A1:M1"/>
  </mergeCells>
  <pageMargins left="0.70866141732283472" right="0.70866141732283472" top="0.78740157480314965" bottom="0.78740157480314965" header="0.31496062992125984" footer="0.31496062992125984"/>
  <pageSetup paperSize="9" scale="48"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F59"/>
  <sheetViews>
    <sheetView topLeftCell="A7" zoomScaleNormal="100" zoomScaleSheetLayoutView="80" workbookViewId="0">
      <selection activeCell="D7" sqref="D7"/>
    </sheetView>
  </sheetViews>
  <sheetFormatPr baseColWidth="10" defaultRowHeight="14.25" x14ac:dyDescent="0.2"/>
  <cols>
    <col min="1" max="1" width="33.5" customWidth="1"/>
    <col min="2" max="2" width="17.125" customWidth="1"/>
    <col min="3" max="3" width="16.75" customWidth="1"/>
    <col min="4" max="4" width="10.375" customWidth="1"/>
    <col min="5" max="5" width="16.375" customWidth="1"/>
  </cols>
  <sheetData>
    <row r="1" spans="1:5" x14ac:dyDescent="0.2">
      <c r="A1" s="935" t="s">
        <v>85</v>
      </c>
      <c r="B1" s="935"/>
      <c r="C1" s="935"/>
      <c r="D1" s="935"/>
      <c r="E1" s="935"/>
    </row>
    <row r="2" spans="1:5" x14ac:dyDescent="0.2">
      <c r="A2" s="935"/>
      <c r="B2" s="935"/>
      <c r="C2" s="935"/>
      <c r="D2" s="935"/>
      <c r="E2" s="935"/>
    </row>
    <row r="3" spans="1:5" x14ac:dyDescent="0.2">
      <c r="A3" s="724"/>
      <c r="B3" s="724"/>
      <c r="C3" s="724"/>
      <c r="D3" s="724"/>
      <c r="E3" s="724"/>
    </row>
    <row r="4" spans="1:5" ht="15" x14ac:dyDescent="0.2">
      <c r="A4" s="936" t="s">
        <v>86</v>
      </c>
      <c r="B4" s="196" t="s">
        <v>22</v>
      </c>
      <c r="C4" s="196" t="s">
        <v>87</v>
      </c>
      <c r="D4" s="197" t="s">
        <v>88</v>
      </c>
      <c r="E4" s="196" t="s">
        <v>89</v>
      </c>
    </row>
    <row r="5" spans="1:5" ht="15" x14ac:dyDescent="0.2">
      <c r="A5" s="937"/>
      <c r="B5" s="634" t="s">
        <v>19</v>
      </c>
      <c r="C5" s="634" t="s">
        <v>19</v>
      </c>
      <c r="D5" s="635" t="s">
        <v>90</v>
      </c>
      <c r="E5" s="634" t="s">
        <v>91</v>
      </c>
    </row>
    <row r="6" spans="1:5" ht="15.75" x14ac:dyDescent="0.25">
      <c r="A6" s="638"/>
      <c r="B6" s="208"/>
      <c r="C6" s="208"/>
      <c r="D6" s="208"/>
      <c r="E6" s="199"/>
    </row>
    <row r="7" spans="1:5" ht="15" x14ac:dyDescent="0.2">
      <c r="A7" s="639" t="str">
        <f>Finanzierungsplan!A10</f>
        <v>KfW-Unternehmerkredit</v>
      </c>
      <c r="B7" s="637">
        <f>Finanzierungsplan!B10</f>
        <v>0</v>
      </c>
      <c r="C7" s="637">
        <f>B7/Finanzierungsplan!E10</f>
        <v>0</v>
      </c>
      <c r="D7" s="725">
        <v>0</v>
      </c>
      <c r="E7" s="201">
        <f t="shared" ref="E7:E12" si="0">C7*D7</f>
        <v>0</v>
      </c>
    </row>
    <row r="8" spans="1:5" ht="15" x14ac:dyDescent="0.2">
      <c r="A8" s="639"/>
      <c r="B8" s="637"/>
      <c r="C8" s="637"/>
      <c r="D8" s="725"/>
      <c r="E8" s="201"/>
    </row>
    <row r="9" spans="1:5" ht="15" x14ac:dyDescent="0.2">
      <c r="A9" s="639" t="str">
        <f>Finanzierungsplan!A12</f>
        <v>L- Bank (GuW)</v>
      </c>
      <c r="B9" s="637">
        <f>Finanzierungsplan!B12</f>
        <v>0</v>
      </c>
      <c r="C9" s="637">
        <f>B9/Finanzierungsplan!E12</f>
        <v>0</v>
      </c>
      <c r="D9" s="725">
        <v>1</v>
      </c>
      <c r="E9" s="201">
        <f t="shared" si="0"/>
        <v>0</v>
      </c>
    </row>
    <row r="10" spans="1:5" ht="15" x14ac:dyDescent="0.2">
      <c r="A10" s="639" t="str">
        <f>Finanzierungsplan!A13</f>
        <v>Startfinanzierung 80</v>
      </c>
      <c r="B10" s="637">
        <f>Finanzierungsplan!B13</f>
        <v>100000</v>
      </c>
      <c r="C10" s="637">
        <f>B10/Finanzierungsplan!E13</f>
        <v>100000</v>
      </c>
      <c r="D10" s="725">
        <v>0.2</v>
      </c>
      <c r="E10" s="201">
        <f t="shared" si="0"/>
        <v>20000</v>
      </c>
    </row>
    <row r="11" spans="1:5" ht="15" x14ac:dyDescent="0.2">
      <c r="A11" s="639"/>
      <c r="B11" s="637"/>
      <c r="C11" s="637"/>
      <c r="D11" s="725"/>
      <c r="E11" s="201"/>
    </row>
    <row r="12" spans="1:5" ht="15" x14ac:dyDescent="0.2">
      <c r="A12" s="639" t="str">
        <f>Finanzierungsplan!A15</f>
        <v>L-Bank Liquiditätshilfe</v>
      </c>
      <c r="B12" s="637">
        <f>Finanzierungsplan!B15</f>
        <v>0</v>
      </c>
      <c r="C12" s="637">
        <f>ROUND(B12/Finanzierungsplan!E15,-2)</f>
        <v>0</v>
      </c>
      <c r="D12" s="725">
        <v>1</v>
      </c>
      <c r="E12" s="201">
        <f t="shared" si="0"/>
        <v>0</v>
      </c>
    </row>
    <row r="13" spans="1:5" ht="15" x14ac:dyDescent="0.2">
      <c r="A13" s="639" t="str">
        <f>Finanzierungsplan!A16</f>
        <v>Kapital für Arbeit</v>
      </c>
      <c r="B13" s="637">
        <f>Finanzierungsplan!B16</f>
        <v>0</v>
      </c>
      <c r="C13" s="637">
        <f>B13/Finanzierungsplan!E16</f>
        <v>0</v>
      </c>
      <c r="D13" s="725">
        <v>1</v>
      </c>
      <c r="E13" s="201">
        <f>C13*D13</f>
        <v>0</v>
      </c>
    </row>
    <row r="14" spans="1:5" ht="15" x14ac:dyDescent="0.2">
      <c r="A14" s="639" t="str">
        <f>Finanzierungsplan!A17</f>
        <v>Bankdarlehen</v>
      </c>
      <c r="B14" s="637">
        <f>Finanzierungsplan!B17</f>
        <v>0</v>
      </c>
      <c r="C14" s="637">
        <f>B14</f>
        <v>0</v>
      </c>
      <c r="D14" s="725">
        <v>1</v>
      </c>
      <c r="E14" s="201">
        <f>C14*D14</f>
        <v>0</v>
      </c>
    </row>
    <row r="15" spans="1:5" ht="15" x14ac:dyDescent="0.2">
      <c r="A15" s="639" t="str">
        <f>Finanzierungsplan!A18</f>
        <v>Bankdarlehen (Annuität)</v>
      </c>
      <c r="B15" s="637">
        <f>Finanzierungsplan!B18</f>
        <v>20000</v>
      </c>
      <c r="C15" s="637">
        <f>B15</f>
        <v>20000</v>
      </c>
      <c r="D15" s="725">
        <v>1</v>
      </c>
      <c r="E15" s="201">
        <f>C15*D15</f>
        <v>20000</v>
      </c>
    </row>
    <row r="16" spans="1:5" ht="15" x14ac:dyDescent="0.2">
      <c r="A16" s="639" t="s">
        <v>92</v>
      </c>
      <c r="B16" s="637">
        <v>0</v>
      </c>
      <c r="C16" s="637">
        <f>B16</f>
        <v>0</v>
      </c>
      <c r="D16" s="725">
        <v>1</v>
      </c>
      <c r="E16" s="201">
        <f>C16*D16</f>
        <v>0</v>
      </c>
    </row>
    <row r="17" spans="1:5" ht="15" x14ac:dyDescent="0.2">
      <c r="A17" s="640" t="str">
        <f>Finanzierungsplan!A19</f>
        <v>Kontokorrentkredit</v>
      </c>
      <c r="B17" s="641">
        <f>Finanzierungsplan!B19</f>
        <v>0</v>
      </c>
      <c r="C17" s="641">
        <f>B17</f>
        <v>0</v>
      </c>
      <c r="D17" s="726">
        <v>1</v>
      </c>
      <c r="E17" s="202">
        <f>C17*D17</f>
        <v>0</v>
      </c>
    </row>
    <row r="18" spans="1:5" ht="15.75" x14ac:dyDescent="0.25">
      <c r="A18" s="198"/>
      <c r="B18" s="198"/>
      <c r="C18" s="198"/>
      <c r="D18" s="198"/>
      <c r="E18" s="198"/>
    </row>
    <row r="19" spans="1:5" ht="15.75" x14ac:dyDescent="0.25">
      <c r="A19" s="203"/>
      <c r="B19" s="204">
        <f>SUM(B7:B17)</f>
        <v>120000</v>
      </c>
      <c r="C19" s="204">
        <f>SUM(C7:C17)</f>
        <v>120000</v>
      </c>
      <c r="D19" s="204"/>
      <c r="E19" s="205">
        <f>SUM(E7:E17)</f>
        <v>40000</v>
      </c>
    </row>
    <row r="20" spans="1:5" ht="15" x14ac:dyDescent="0.2">
      <c r="A20" s="727"/>
      <c r="B20" s="727"/>
      <c r="C20" s="727"/>
      <c r="D20" s="727"/>
      <c r="E20" s="727"/>
    </row>
    <row r="21" spans="1:5" ht="15" x14ac:dyDescent="0.2">
      <c r="A21" s="727"/>
      <c r="B21" s="727"/>
      <c r="C21" s="727"/>
      <c r="D21" s="727"/>
      <c r="E21" s="727"/>
    </row>
    <row r="22" spans="1:5" ht="15" x14ac:dyDescent="0.2">
      <c r="A22" s="643" t="s">
        <v>93</v>
      </c>
      <c r="B22" s="940" t="s">
        <v>94</v>
      </c>
      <c r="C22" s="939"/>
      <c r="D22" s="938" t="s">
        <v>95</v>
      </c>
      <c r="E22" s="939"/>
    </row>
    <row r="23" spans="1:5" ht="15" x14ac:dyDescent="0.2">
      <c r="A23" s="644"/>
      <c r="B23" s="941"/>
      <c r="C23" s="942"/>
      <c r="D23" s="645" t="s">
        <v>96</v>
      </c>
      <c r="E23" s="635" t="s">
        <v>19</v>
      </c>
    </row>
    <row r="24" spans="1:5" ht="15.75" x14ac:dyDescent="0.25">
      <c r="A24" s="638"/>
      <c r="B24" s="636"/>
      <c r="C24" s="642"/>
      <c r="D24" s="208"/>
      <c r="E24" s="199"/>
    </row>
    <row r="25" spans="1:5" ht="15" x14ac:dyDescent="0.2">
      <c r="A25" s="639" t="str">
        <f>Investitionsplan!A8</f>
        <v>Grundstücke / Gebäude</v>
      </c>
      <c r="B25" s="637">
        <f>Investitionsplan!D8</f>
        <v>0</v>
      </c>
      <c r="C25" s="609"/>
      <c r="D25" s="725">
        <v>0</v>
      </c>
      <c r="E25" s="201">
        <f>B25*D25</f>
        <v>0</v>
      </c>
    </row>
    <row r="26" spans="1:5" ht="15" x14ac:dyDescent="0.2">
      <c r="A26" s="639" t="str">
        <f>Investitionsplan!A9</f>
        <v xml:space="preserve">Bauliche Maßnahmen </v>
      </c>
      <c r="B26" s="637">
        <f>Investitionsplan!D9</f>
        <v>4000</v>
      </c>
      <c r="C26" s="609"/>
      <c r="D26" s="725">
        <v>0</v>
      </c>
      <c r="E26" s="201">
        <f>(B26-C26)*D26</f>
        <v>0</v>
      </c>
    </row>
    <row r="27" spans="1:5" ht="15" x14ac:dyDescent="0.2">
      <c r="A27" s="639" t="str">
        <f>Investitionsplan!A10</f>
        <v>Einrichtungen, Verkaufsraum</v>
      </c>
      <c r="B27" s="637">
        <f>Investitionsplan!D10</f>
        <v>20000</v>
      </c>
      <c r="C27" s="609"/>
      <c r="D27" s="725">
        <v>0</v>
      </c>
      <c r="E27" s="201">
        <f t="shared" ref="E27:E41" si="1">(B27-C27)*D27</f>
        <v>0</v>
      </c>
    </row>
    <row r="28" spans="1:5" ht="15" x14ac:dyDescent="0.2">
      <c r="A28" s="639" t="str">
        <f>Investitionsplan!A11</f>
        <v>Maschinen</v>
      </c>
      <c r="B28" s="637">
        <f>Investitionsplan!D11</f>
        <v>17500</v>
      </c>
      <c r="C28" s="609"/>
      <c r="D28" s="725">
        <v>0.2</v>
      </c>
      <c r="E28" s="201">
        <f t="shared" si="1"/>
        <v>3500</v>
      </c>
    </row>
    <row r="29" spans="1:5" ht="15" x14ac:dyDescent="0.2">
      <c r="A29" s="639" t="str">
        <f>Investitionsplan!A12</f>
        <v>Werkzeuge</v>
      </c>
      <c r="B29" s="637">
        <f>Investitionsplan!D12</f>
        <v>10000</v>
      </c>
      <c r="C29" s="609"/>
      <c r="D29" s="725">
        <v>0.2</v>
      </c>
      <c r="E29" s="201">
        <f>(B29-C29)*D29</f>
        <v>2000</v>
      </c>
    </row>
    <row r="30" spans="1:5" ht="15" x14ac:dyDescent="0.2">
      <c r="A30" s="639" t="str">
        <f>Investitionsplan!A13</f>
        <v>Werkstatteinrichtung</v>
      </c>
      <c r="B30" s="637">
        <f>Investitionsplan!D13</f>
        <v>40000</v>
      </c>
      <c r="C30" s="609"/>
      <c r="D30" s="725">
        <v>0.2</v>
      </c>
      <c r="E30" s="201">
        <f t="shared" si="1"/>
        <v>8000</v>
      </c>
    </row>
    <row r="31" spans="1:5" ht="15" x14ac:dyDescent="0.2">
      <c r="A31" s="639" t="str">
        <f>Investitionsplan!A14</f>
        <v>Büroeinrichtung und  -ausstattung</v>
      </c>
      <c r="B31" s="637">
        <f>Investitionsplan!D14</f>
        <v>5000</v>
      </c>
      <c r="C31" s="609"/>
      <c r="D31" s="725">
        <v>0.2</v>
      </c>
      <c r="E31" s="201">
        <f t="shared" si="1"/>
        <v>1000</v>
      </c>
    </row>
    <row r="32" spans="1:5" ht="15" x14ac:dyDescent="0.2">
      <c r="A32" s="639" t="str">
        <f>Investitionsplan!A15</f>
        <v>EDV-System</v>
      </c>
      <c r="B32" s="637">
        <f>Investitionsplan!D15</f>
        <v>5000</v>
      </c>
      <c r="C32" s="609"/>
      <c r="D32" s="725">
        <v>0.2</v>
      </c>
      <c r="E32" s="201">
        <f t="shared" si="1"/>
        <v>1000</v>
      </c>
    </row>
    <row r="33" spans="1:6" ht="15" x14ac:dyDescent="0.2">
      <c r="A33" s="639" t="str">
        <f>Investitionsplan!A16</f>
        <v>Fahrzeuge</v>
      </c>
      <c r="B33" s="637">
        <f>Investitionsplan!D16</f>
        <v>0</v>
      </c>
      <c r="C33" s="609"/>
      <c r="D33" s="725">
        <v>0</v>
      </c>
      <c r="E33" s="201">
        <f t="shared" si="1"/>
        <v>0</v>
      </c>
    </row>
    <row r="34" spans="1:6" ht="15" x14ac:dyDescent="0.2">
      <c r="A34" s="639" t="str">
        <f>Investitionsplan!A17</f>
        <v>Warenerstaustattung</v>
      </c>
      <c r="B34" s="637">
        <f>Investitionsplan!D17</f>
        <v>5000</v>
      </c>
      <c r="C34" s="609"/>
      <c r="D34" s="725">
        <v>0.2</v>
      </c>
      <c r="E34" s="201">
        <f t="shared" si="1"/>
        <v>1000</v>
      </c>
    </row>
    <row r="35" spans="1:6" ht="15" x14ac:dyDescent="0.2">
      <c r="A35" s="728" t="str">
        <f>Investitionsplan!A25</f>
        <v>Ware</v>
      </c>
      <c r="B35" s="637">
        <f>Investitionsplan!D25</f>
        <v>0</v>
      </c>
      <c r="C35" s="609"/>
      <c r="D35" s="725">
        <v>0</v>
      </c>
      <c r="E35" s="201">
        <f t="shared" si="1"/>
        <v>0</v>
      </c>
    </row>
    <row r="36" spans="1:6" ht="15" x14ac:dyDescent="0.2">
      <c r="A36" s="639" t="str">
        <f>Investitionsplan!A26</f>
        <v>Material</v>
      </c>
      <c r="B36" s="637">
        <f>Investitionsplan!D26</f>
        <v>0</v>
      </c>
      <c r="C36" s="609"/>
      <c r="D36" s="725">
        <v>0</v>
      </c>
      <c r="E36" s="201">
        <f t="shared" si="1"/>
        <v>0</v>
      </c>
    </row>
    <row r="37" spans="1:6" ht="15" x14ac:dyDescent="0.2">
      <c r="A37" s="639" t="str">
        <f>Investitionsplan!A27</f>
        <v>Halbfertige Aufträge</v>
      </c>
      <c r="B37" s="637">
        <f>Investitionsplan!D27</f>
        <v>10000</v>
      </c>
      <c r="C37" s="609"/>
      <c r="D37" s="725">
        <v>0</v>
      </c>
      <c r="E37" s="201">
        <f t="shared" si="1"/>
        <v>0</v>
      </c>
    </row>
    <row r="38" spans="1:6" ht="15" x14ac:dyDescent="0.2">
      <c r="A38" s="639" t="str">
        <f>Investitionsplan!A28</f>
        <v>Fertige Aufträge</v>
      </c>
      <c r="B38" s="637">
        <f>Investitionsplan!D28</f>
        <v>10000</v>
      </c>
      <c r="C38" s="609"/>
      <c r="D38" s="725">
        <v>0.2</v>
      </c>
      <c r="E38" s="201">
        <f t="shared" si="1"/>
        <v>2000</v>
      </c>
    </row>
    <row r="39" spans="1:6" ht="15" x14ac:dyDescent="0.2">
      <c r="A39" s="639" t="str">
        <f>Investitionsplan!A29</f>
        <v>Forderungen</v>
      </c>
      <c r="B39" s="637">
        <f>Investitionsplan!D29</f>
        <v>12500</v>
      </c>
      <c r="C39" s="609"/>
      <c r="D39" s="725">
        <v>0.2</v>
      </c>
      <c r="E39" s="201">
        <f t="shared" si="1"/>
        <v>2500</v>
      </c>
    </row>
    <row r="40" spans="1:6" ht="15" x14ac:dyDescent="0.2">
      <c r="A40" s="175" t="str">
        <f>Investitionsplan!A18</f>
        <v>Einmalkosten / Gründungskosten</v>
      </c>
      <c r="B40" s="637">
        <f>Investitionsplan!D18</f>
        <v>1000</v>
      </c>
      <c r="C40" s="609"/>
      <c r="D40" s="725">
        <v>0</v>
      </c>
      <c r="E40" s="201">
        <f t="shared" si="1"/>
        <v>0</v>
      </c>
    </row>
    <row r="41" spans="1:6" ht="15" x14ac:dyDescent="0.2">
      <c r="A41" s="699" t="str">
        <f>Investitionsplan!A19</f>
        <v>Sonstiges</v>
      </c>
      <c r="B41" s="637">
        <f>Investitionsplan!D19</f>
        <v>0</v>
      </c>
      <c r="C41" s="609"/>
      <c r="D41" s="725">
        <v>0</v>
      </c>
      <c r="E41" s="201">
        <f t="shared" si="1"/>
        <v>0</v>
      </c>
    </row>
    <row r="42" spans="1:6" ht="15" x14ac:dyDescent="0.2">
      <c r="A42" s="728" t="str">
        <f>Investitionsplan!A30</f>
        <v>…</v>
      </c>
      <c r="B42" s="637">
        <f>Investitionsplan!D30</f>
        <v>0</v>
      </c>
      <c r="C42" s="609"/>
      <c r="D42" s="725">
        <v>0</v>
      </c>
      <c r="E42" s="201">
        <f>(B42-C42)*D42</f>
        <v>0</v>
      </c>
    </row>
    <row r="43" spans="1:6" ht="15" x14ac:dyDescent="0.2">
      <c r="A43" s="728" t="str">
        <f>Investitionsplan!A31</f>
        <v>…</v>
      </c>
      <c r="B43" s="637">
        <f>Investitionsplan!D31</f>
        <v>0</v>
      </c>
      <c r="C43" s="609"/>
      <c r="D43" s="725">
        <v>0</v>
      </c>
      <c r="E43" s="201">
        <f>(B43-C43)*D43</f>
        <v>0</v>
      </c>
    </row>
    <row r="44" spans="1:6" ht="15.75" x14ac:dyDescent="0.25">
      <c r="A44" s="843"/>
      <c r="B44" s="727"/>
      <c r="C44" s="636"/>
      <c r="D44" s="636"/>
      <c r="E44" s="727"/>
    </row>
    <row r="45" spans="1:6" ht="15.75" x14ac:dyDescent="0.25">
      <c r="A45" s="729"/>
      <c r="B45" s="204">
        <f>SUM(B25:B43)</f>
        <v>140000</v>
      </c>
      <c r="C45" s="730"/>
      <c r="D45" s="731"/>
      <c r="E45" s="205">
        <f>SUM(E25:E43)</f>
        <v>21000</v>
      </c>
      <c r="F45" s="699"/>
    </row>
    <row r="46" spans="1:6" ht="15.75" thickBot="1" x14ac:dyDescent="0.25">
      <c r="A46" s="727"/>
      <c r="B46" s="727"/>
      <c r="C46" s="727"/>
      <c r="D46" s="727"/>
      <c r="E46" s="727"/>
      <c r="F46" s="699"/>
    </row>
    <row r="47" spans="1:6" ht="16.5" thickBot="1" x14ac:dyDescent="0.3">
      <c r="A47" s="209" t="s">
        <v>372</v>
      </c>
      <c r="B47" s="727"/>
      <c r="C47" s="727"/>
      <c r="D47" s="727"/>
      <c r="E47" s="732">
        <f>IF(E19&gt;E45,ROUND(E19-E45,-2),0)</f>
        <v>19000</v>
      </c>
      <c r="F47" s="699"/>
    </row>
    <row r="48" spans="1:6" ht="15.75" x14ac:dyDescent="0.25">
      <c r="A48" s="198"/>
      <c r="B48" s="727"/>
      <c r="C48" s="727"/>
      <c r="D48" s="727"/>
      <c r="E48" s="727"/>
      <c r="F48" s="699"/>
    </row>
    <row r="49" spans="1:6" ht="15" x14ac:dyDescent="0.2">
      <c r="A49" s="200" t="s">
        <v>374</v>
      </c>
      <c r="B49" s="727"/>
      <c r="C49" s="727"/>
      <c r="D49" s="727"/>
      <c r="E49" s="727"/>
      <c r="F49" s="699"/>
    </row>
    <row r="50" spans="1:6" ht="15.75" x14ac:dyDescent="0.25">
      <c r="A50" s="200" t="s">
        <v>373</v>
      </c>
      <c r="B50" s="727"/>
      <c r="C50" s="727"/>
      <c r="D50" s="733"/>
      <c r="E50" s="734">
        <f>IF((E19*0.8)&lt;=E45,E45/E19,0.8)</f>
        <v>0.8</v>
      </c>
      <c r="F50" s="699"/>
    </row>
    <row r="51" spans="1:6" ht="15.75" x14ac:dyDescent="0.25">
      <c r="A51" s="200"/>
      <c r="B51" s="727"/>
      <c r="C51" s="727"/>
      <c r="D51" s="733"/>
      <c r="E51" s="735">
        <f>E19*E50</f>
        <v>32000</v>
      </c>
      <c r="F51" s="699"/>
    </row>
    <row r="52" spans="1:6" ht="15.75" x14ac:dyDescent="0.25">
      <c r="A52" s="200" t="s">
        <v>97</v>
      </c>
      <c r="B52" s="727"/>
      <c r="C52" s="727"/>
      <c r="D52" s="736"/>
      <c r="E52" s="737" t="s">
        <v>228</v>
      </c>
      <c r="F52" s="699"/>
    </row>
    <row r="53" spans="1:6" x14ac:dyDescent="0.2">
      <c r="A53" s="699"/>
      <c r="B53" s="699"/>
      <c r="C53" s="699"/>
      <c r="D53" s="699"/>
      <c r="E53" s="699"/>
      <c r="F53" s="699" t="s">
        <v>227</v>
      </c>
    </row>
    <row r="54" spans="1:6" ht="15" x14ac:dyDescent="0.2">
      <c r="A54" s="845" t="s">
        <v>412</v>
      </c>
      <c r="B54" s="842"/>
      <c r="C54" s="699"/>
      <c r="D54" s="699"/>
      <c r="E54" s="699"/>
      <c r="F54" s="699" t="s">
        <v>228</v>
      </c>
    </row>
    <row r="55" spans="1:6" ht="15" x14ac:dyDescent="0.2">
      <c r="A55" s="845" t="s">
        <v>413</v>
      </c>
      <c r="B55" s="842"/>
      <c r="C55" s="699"/>
      <c r="D55" s="699"/>
      <c r="E55" s="699"/>
      <c r="F55" s="699"/>
    </row>
    <row r="56" spans="1:6" ht="15" x14ac:dyDescent="0.2">
      <c r="A56" s="845" t="s">
        <v>414</v>
      </c>
      <c r="B56" s="842"/>
      <c r="C56" s="699"/>
      <c r="D56" s="699"/>
      <c r="E56" s="699"/>
      <c r="F56" s="699"/>
    </row>
    <row r="57" spans="1:6" ht="15" x14ac:dyDescent="0.2">
      <c r="A57" s="845" t="s">
        <v>415</v>
      </c>
      <c r="B57" s="844"/>
      <c r="C57" s="699"/>
      <c r="D57" s="699"/>
      <c r="E57" s="699"/>
      <c r="F57" s="699"/>
    </row>
    <row r="58" spans="1:6" ht="15" x14ac:dyDescent="0.2">
      <c r="A58" s="846" t="s">
        <v>416</v>
      </c>
      <c r="B58" s="842"/>
      <c r="C58" s="699"/>
      <c r="D58" s="699"/>
      <c r="E58" s="699"/>
      <c r="F58" s="699"/>
    </row>
    <row r="59" spans="1:6" x14ac:dyDescent="0.2">
      <c r="A59" s="699"/>
      <c r="B59" s="699"/>
      <c r="C59" s="699"/>
      <c r="D59" s="699"/>
      <c r="E59" s="699"/>
      <c r="F59" s="699"/>
    </row>
  </sheetData>
  <sheetProtection password="C12A" sheet="1" objects="1" scenarios="1" selectLockedCells="1"/>
  <mergeCells count="4">
    <mergeCell ref="A1:E2"/>
    <mergeCell ref="A4:A5"/>
    <mergeCell ref="D22:E22"/>
    <mergeCell ref="B22:C23"/>
  </mergeCells>
  <hyperlinks>
    <hyperlink ref="A58" r:id="rId1"/>
  </hyperlinks>
  <pageMargins left="0.70866141732283472" right="0.70866141732283472" top="0.78740157480314965" bottom="0.78740157480314965" header="0.31496062992125984" footer="0.31496062992125984"/>
  <pageSetup paperSize="9" scale="85"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D71"/>
  <sheetViews>
    <sheetView topLeftCell="A37" zoomScaleNormal="100" zoomScaleSheetLayoutView="100" zoomScalePageLayoutView="60" workbookViewId="0">
      <selection activeCell="C57" sqref="C57"/>
    </sheetView>
  </sheetViews>
  <sheetFormatPr baseColWidth="10" defaultRowHeight="14.25" x14ac:dyDescent="0.2"/>
  <cols>
    <col min="1" max="1" width="3.75" customWidth="1"/>
    <col min="2" max="2" width="33.25" customWidth="1"/>
    <col min="3" max="3" width="35" customWidth="1"/>
    <col min="4" max="4" width="31.875" customWidth="1"/>
    <col min="5" max="5" width="62.375" customWidth="1"/>
  </cols>
  <sheetData>
    <row r="1" spans="1:4" ht="25.5" customHeight="1" x14ac:dyDescent="0.2">
      <c r="A1" s="935" t="s">
        <v>98</v>
      </c>
      <c r="B1" s="935"/>
      <c r="C1" s="935"/>
      <c r="D1" s="935"/>
    </row>
    <row r="2" spans="1:4" x14ac:dyDescent="0.2">
      <c r="A2" s="73"/>
      <c r="B2" s="73"/>
      <c r="C2" s="106"/>
      <c r="D2" s="106"/>
    </row>
    <row r="3" spans="1:4" ht="15.75" x14ac:dyDescent="0.25">
      <c r="A3" s="145"/>
      <c r="B3" s="145"/>
      <c r="C3" s="146" t="s">
        <v>99</v>
      </c>
      <c r="D3" s="147" t="s">
        <v>100</v>
      </c>
    </row>
    <row r="4" spans="1:4" ht="15" x14ac:dyDescent="0.2">
      <c r="A4" s="148"/>
      <c r="B4" s="148"/>
      <c r="C4" s="149"/>
      <c r="D4" s="150"/>
    </row>
    <row r="5" spans="1:4" ht="15.75" x14ac:dyDescent="0.25">
      <c r="A5" s="151" t="s">
        <v>101</v>
      </c>
      <c r="B5" s="151"/>
      <c r="C5" s="607">
        <f>SUM(C7:C13)</f>
        <v>890</v>
      </c>
      <c r="D5" s="607">
        <f>C5*12</f>
        <v>10680</v>
      </c>
    </row>
    <row r="6" spans="1:4" ht="15" x14ac:dyDescent="0.2">
      <c r="A6" s="148"/>
      <c r="B6" s="148"/>
      <c r="C6" s="608"/>
      <c r="D6" s="608"/>
    </row>
    <row r="7" spans="1:4" ht="15" x14ac:dyDescent="0.2">
      <c r="A7" s="152" t="s">
        <v>102</v>
      </c>
      <c r="B7" s="113"/>
      <c r="C7" s="738">
        <v>400</v>
      </c>
      <c r="D7" s="609"/>
    </row>
    <row r="8" spans="1:4" ht="15" x14ac:dyDescent="0.2">
      <c r="A8" s="152" t="s">
        <v>103</v>
      </c>
      <c r="B8" s="113"/>
      <c r="C8" s="738">
        <v>100</v>
      </c>
      <c r="D8" s="609"/>
    </row>
    <row r="9" spans="1:4" ht="15" x14ac:dyDescent="0.2">
      <c r="A9" s="152" t="s">
        <v>104</v>
      </c>
      <c r="B9" s="113"/>
      <c r="C9" s="738">
        <v>40</v>
      </c>
      <c r="D9" s="609"/>
    </row>
    <row r="10" spans="1:4" ht="15" x14ac:dyDescent="0.2">
      <c r="A10" s="152" t="s">
        <v>105</v>
      </c>
      <c r="B10" s="113"/>
      <c r="C10" s="738">
        <v>100</v>
      </c>
      <c r="D10" s="609"/>
    </row>
    <row r="11" spans="1:4" ht="15" x14ac:dyDescent="0.2">
      <c r="A11" s="152" t="s">
        <v>106</v>
      </c>
      <c r="B11" s="113"/>
      <c r="C11" s="738">
        <v>150</v>
      </c>
      <c r="D11" s="609"/>
    </row>
    <row r="12" spans="1:4" ht="15" x14ac:dyDescent="0.2">
      <c r="A12" s="152" t="s">
        <v>107</v>
      </c>
      <c r="B12" s="113"/>
      <c r="C12" s="738">
        <v>50</v>
      </c>
      <c r="D12" s="609"/>
    </row>
    <row r="13" spans="1:4" ht="15" x14ac:dyDescent="0.2">
      <c r="A13" s="152" t="s">
        <v>108</v>
      </c>
      <c r="B13" s="113"/>
      <c r="C13" s="738">
        <v>50</v>
      </c>
      <c r="D13" s="609"/>
    </row>
    <row r="14" spans="1:4" ht="15" x14ac:dyDescent="0.2">
      <c r="A14" s="148"/>
      <c r="B14" s="148"/>
      <c r="C14" s="608"/>
      <c r="D14" s="608"/>
    </row>
    <row r="15" spans="1:4" ht="15.75" x14ac:dyDescent="0.25">
      <c r="A15" s="151" t="s">
        <v>109</v>
      </c>
      <c r="B15" s="151"/>
      <c r="C15" s="607">
        <f>SUM(C17:C23)</f>
        <v>705</v>
      </c>
      <c r="D15" s="607">
        <f>C15*12</f>
        <v>8460</v>
      </c>
    </row>
    <row r="16" spans="1:4" ht="15" x14ac:dyDescent="0.2">
      <c r="A16" s="148"/>
      <c r="B16" s="148"/>
      <c r="C16" s="608"/>
      <c r="D16" s="608"/>
    </row>
    <row r="17" spans="1:4" ht="15" x14ac:dyDescent="0.2">
      <c r="A17" s="148" t="s">
        <v>110</v>
      </c>
      <c r="B17" s="113"/>
      <c r="C17" s="739">
        <v>250</v>
      </c>
      <c r="D17" s="608"/>
    </row>
    <row r="18" spans="1:4" ht="15" x14ac:dyDescent="0.2">
      <c r="A18" s="148" t="s">
        <v>111</v>
      </c>
      <c r="B18" s="113"/>
      <c r="C18" s="739">
        <v>350</v>
      </c>
      <c r="D18" s="608"/>
    </row>
    <row r="19" spans="1:4" ht="15" x14ac:dyDescent="0.2">
      <c r="A19" s="148" t="s">
        <v>112</v>
      </c>
      <c r="B19" s="113"/>
      <c r="C19" s="739">
        <v>0</v>
      </c>
      <c r="D19" s="608"/>
    </row>
    <row r="20" spans="1:4" ht="15" x14ac:dyDescent="0.2">
      <c r="A20" s="148" t="s">
        <v>113</v>
      </c>
      <c r="B20" s="113"/>
      <c r="C20" s="739">
        <v>25</v>
      </c>
      <c r="D20" s="608"/>
    </row>
    <row r="21" spans="1:4" ht="15" x14ac:dyDescent="0.2">
      <c r="A21" s="148" t="s">
        <v>114</v>
      </c>
      <c r="B21" s="113"/>
      <c r="C21" s="739">
        <v>0</v>
      </c>
      <c r="D21" s="608"/>
    </row>
    <row r="22" spans="1:4" ht="15" x14ac:dyDescent="0.2">
      <c r="A22" s="148" t="s">
        <v>115</v>
      </c>
      <c r="B22" s="113"/>
      <c r="C22" s="739">
        <v>30</v>
      </c>
      <c r="D22" s="608"/>
    </row>
    <row r="23" spans="1:4" ht="15" x14ac:dyDescent="0.2">
      <c r="A23" s="676" t="s">
        <v>116</v>
      </c>
      <c r="B23" s="113"/>
      <c r="C23" s="739">
        <v>50</v>
      </c>
      <c r="D23" s="608"/>
    </row>
    <row r="24" spans="1:4" ht="15" x14ac:dyDescent="0.2">
      <c r="A24" s="148"/>
      <c r="B24" s="148"/>
      <c r="C24" s="608"/>
      <c r="D24" s="608"/>
    </row>
    <row r="25" spans="1:4" ht="15.75" x14ac:dyDescent="0.25">
      <c r="A25" s="151" t="s">
        <v>117</v>
      </c>
      <c r="B25" s="151"/>
      <c r="C25" s="607">
        <f>SUM(C27:C31)</f>
        <v>70</v>
      </c>
      <c r="D25" s="607">
        <f>C25*12</f>
        <v>840</v>
      </c>
    </row>
    <row r="26" spans="1:4" ht="15" x14ac:dyDescent="0.2">
      <c r="A26" s="148"/>
      <c r="B26" s="148"/>
      <c r="C26" s="608"/>
      <c r="D26" s="608"/>
    </row>
    <row r="27" spans="1:4" ht="15" x14ac:dyDescent="0.2">
      <c r="A27" s="148" t="s">
        <v>118</v>
      </c>
      <c r="B27" s="113"/>
      <c r="C27" s="739">
        <v>0</v>
      </c>
      <c r="D27" s="608"/>
    </row>
    <row r="28" spans="1:4" ht="15" x14ac:dyDescent="0.2">
      <c r="A28" s="148" t="s">
        <v>119</v>
      </c>
      <c r="B28" s="113"/>
      <c r="C28" s="739">
        <v>20</v>
      </c>
      <c r="D28" s="608"/>
    </row>
    <row r="29" spans="1:4" ht="15" x14ac:dyDescent="0.2">
      <c r="A29" s="148" t="s">
        <v>120</v>
      </c>
      <c r="B29" s="113"/>
      <c r="C29" s="739">
        <v>30</v>
      </c>
      <c r="D29" s="608"/>
    </row>
    <row r="30" spans="1:4" ht="15" x14ac:dyDescent="0.2">
      <c r="A30" s="148" t="s">
        <v>121</v>
      </c>
      <c r="B30" s="113"/>
      <c r="C30" s="739">
        <v>0</v>
      </c>
      <c r="D30" s="608"/>
    </row>
    <row r="31" spans="1:4" ht="15" x14ac:dyDescent="0.2">
      <c r="A31" s="148" t="s">
        <v>122</v>
      </c>
      <c r="B31" s="113"/>
      <c r="C31" s="739">
        <v>20</v>
      </c>
      <c r="D31" s="608"/>
    </row>
    <row r="32" spans="1:4" ht="15" x14ac:dyDescent="0.2">
      <c r="A32" s="148"/>
      <c r="B32" s="148"/>
      <c r="C32" s="608"/>
      <c r="D32" s="608"/>
    </row>
    <row r="33" spans="1:4" ht="15.75" x14ac:dyDescent="0.25">
      <c r="A33" s="151" t="s">
        <v>123</v>
      </c>
      <c r="B33" s="151"/>
      <c r="C33" s="607">
        <f>SUM(C35:C43)</f>
        <v>438</v>
      </c>
      <c r="D33" s="607">
        <f>C33*12</f>
        <v>5256</v>
      </c>
    </row>
    <row r="34" spans="1:4" ht="15" x14ac:dyDescent="0.2">
      <c r="A34" s="148"/>
      <c r="B34" s="148"/>
      <c r="C34" s="608"/>
      <c r="D34" s="608"/>
    </row>
    <row r="35" spans="1:4" ht="15" x14ac:dyDescent="0.2">
      <c r="A35" s="148" t="s">
        <v>124</v>
      </c>
      <c r="B35" s="113"/>
      <c r="C35" s="739">
        <v>50</v>
      </c>
      <c r="D35" s="608"/>
    </row>
    <row r="36" spans="1:4" ht="15" x14ac:dyDescent="0.2">
      <c r="A36" s="148" t="s">
        <v>125</v>
      </c>
      <c r="B36" s="113"/>
      <c r="C36" s="739">
        <v>0</v>
      </c>
      <c r="D36" s="608"/>
    </row>
    <row r="37" spans="1:4" ht="15" x14ac:dyDescent="0.2">
      <c r="A37" s="148" t="s">
        <v>126</v>
      </c>
      <c r="B37" s="113"/>
      <c r="C37" s="739">
        <v>50</v>
      </c>
      <c r="D37" s="608"/>
    </row>
    <row r="38" spans="1:4" ht="15" x14ac:dyDescent="0.2">
      <c r="A38" s="148" t="s">
        <v>127</v>
      </c>
      <c r="B38" s="113"/>
      <c r="C38" s="739">
        <v>60</v>
      </c>
      <c r="D38" s="608"/>
    </row>
    <row r="39" spans="1:4" ht="15" x14ac:dyDescent="0.2">
      <c r="A39" s="148" t="s">
        <v>128</v>
      </c>
      <c r="B39" s="113"/>
      <c r="C39" s="739">
        <v>100</v>
      </c>
      <c r="D39" s="608"/>
    </row>
    <row r="40" spans="1:4" ht="15" x14ac:dyDescent="0.2">
      <c r="A40" s="148" t="s">
        <v>129</v>
      </c>
      <c r="B40" s="113"/>
      <c r="C40" s="739">
        <v>50</v>
      </c>
      <c r="D40" s="608"/>
    </row>
    <row r="41" spans="1:4" ht="15" x14ac:dyDescent="0.2">
      <c r="A41" s="148" t="s">
        <v>130</v>
      </c>
      <c r="B41" s="113"/>
      <c r="C41" s="739">
        <v>60</v>
      </c>
      <c r="D41" s="608"/>
    </row>
    <row r="42" spans="1:4" ht="15" x14ac:dyDescent="0.2">
      <c r="A42" s="148" t="s">
        <v>144</v>
      </c>
      <c r="B42" s="113"/>
      <c r="C42" s="739">
        <v>18</v>
      </c>
      <c r="D42" s="608"/>
    </row>
    <row r="43" spans="1:4" ht="15" x14ac:dyDescent="0.2">
      <c r="A43" s="148" t="s">
        <v>131</v>
      </c>
      <c r="B43" s="113"/>
      <c r="C43" s="739">
        <v>50</v>
      </c>
      <c r="D43" s="608"/>
    </row>
    <row r="44" spans="1:4" ht="15" x14ac:dyDescent="0.2">
      <c r="A44" s="148"/>
      <c r="B44" s="148"/>
      <c r="C44" s="608"/>
      <c r="D44" s="608"/>
    </row>
    <row r="45" spans="1:4" ht="15.75" x14ac:dyDescent="0.25">
      <c r="A45" s="151" t="s">
        <v>132</v>
      </c>
      <c r="B45" s="151"/>
      <c r="C45" s="607">
        <f>SUM(C47:C53)</f>
        <v>165</v>
      </c>
      <c r="D45" s="607">
        <f>C45*12</f>
        <v>1980</v>
      </c>
    </row>
    <row r="46" spans="1:4" ht="15" x14ac:dyDescent="0.2">
      <c r="A46" s="148"/>
      <c r="B46" s="148"/>
      <c r="C46" s="608"/>
      <c r="D46" s="608"/>
    </row>
    <row r="47" spans="1:4" ht="15" x14ac:dyDescent="0.2">
      <c r="A47" s="148" t="s">
        <v>133</v>
      </c>
      <c r="B47" s="113"/>
      <c r="C47" s="739">
        <v>15</v>
      </c>
      <c r="D47" s="608"/>
    </row>
    <row r="48" spans="1:4" ht="15" x14ac:dyDescent="0.2">
      <c r="A48" s="148" t="s">
        <v>134</v>
      </c>
      <c r="B48" s="113"/>
      <c r="C48" s="739">
        <v>30</v>
      </c>
      <c r="D48" s="608"/>
    </row>
    <row r="49" spans="1:4" ht="15" x14ac:dyDescent="0.2">
      <c r="A49" s="148" t="s">
        <v>135</v>
      </c>
      <c r="B49" s="113"/>
      <c r="C49" s="739">
        <v>80</v>
      </c>
      <c r="D49" s="608"/>
    </row>
    <row r="50" spans="1:4" ht="15" x14ac:dyDescent="0.2">
      <c r="A50" s="148" t="s">
        <v>136</v>
      </c>
      <c r="B50" s="113"/>
      <c r="C50" s="739">
        <v>20</v>
      </c>
      <c r="D50" s="608"/>
    </row>
    <row r="51" spans="1:4" ht="15" x14ac:dyDescent="0.2">
      <c r="A51" s="148" t="s">
        <v>137</v>
      </c>
      <c r="B51" s="113"/>
      <c r="C51" s="739">
        <v>20</v>
      </c>
      <c r="D51" s="608"/>
    </row>
    <row r="52" spans="1:4" ht="15" x14ac:dyDescent="0.2">
      <c r="A52" s="148" t="s">
        <v>138</v>
      </c>
      <c r="B52" s="113"/>
      <c r="C52" s="739">
        <v>0</v>
      </c>
      <c r="D52" s="608"/>
    </row>
    <row r="53" spans="1:4" ht="15" x14ac:dyDescent="0.2">
      <c r="A53" s="148" t="s">
        <v>139</v>
      </c>
      <c r="B53" s="113"/>
      <c r="C53" s="739">
        <v>0</v>
      </c>
      <c r="D53" s="608"/>
    </row>
    <row r="54" spans="1:4" ht="15" x14ac:dyDescent="0.2">
      <c r="A54" s="148"/>
      <c r="B54" s="148"/>
      <c r="C54" s="608"/>
      <c r="D54" s="608"/>
    </row>
    <row r="55" spans="1:4" ht="15.75" x14ac:dyDescent="0.25">
      <c r="A55" s="151" t="s">
        <v>140</v>
      </c>
      <c r="B55" s="151"/>
      <c r="C55" s="607">
        <f>SUM(C57:C62)</f>
        <v>800</v>
      </c>
      <c r="D55" s="607">
        <f>C55*12</f>
        <v>9600</v>
      </c>
    </row>
    <row r="56" spans="1:4" ht="15" x14ac:dyDescent="0.2">
      <c r="A56" s="148"/>
      <c r="B56" s="148"/>
      <c r="C56" s="608"/>
      <c r="D56" s="608"/>
    </row>
    <row r="57" spans="1:4" ht="15" x14ac:dyDescent="0.2">
      <c r="A57" s="148" t="s">
        <v>141</v>
      </c>
      <c r="B57" s="113"/>
      <c r="C57" s="739">
        <v>0</v>
      </c>
      <c r="D57" s="608"/>
    </row>
    <row r="58" spans="1:4" ht="15" x14ac:dyDescent="0.2">
      <c r="A58" s="148" t="s">
        <v>142</v>
      </c>
      <c r="B58" s="113"/>
      <c r="C58" s="739">
        <v>800</v>
      </c>
      <c r="D58" s="608"/>
    </row>
    <row r="59" spans="1:4" ht="15" x14ac:dyDescent="0.2">
      <c r="A59" s="148" t="s">
        <v>11</v>
      </c>
      <c r="B59" s="113"/>
      <c r="C59" s="739">
        <v>0</v>
      </c>
      <c r="D59" s="608"/>
    </row>
    <row r="60" spans="1:4" ht="15" x14ac:dyDescent="0.2">
      <c r="A60" s="148"/>
      <c r="B60" s="148"/>
      <c r="C60" s="608"/>
      <c r="D60" s="608"/>
    </row>
    <row r="61" spans="1:4" ht="15.75" x14ac:dyDescent="0.25">
      <c r="A61" s="153"/>
      <c r="B61" s="148"/>
      <c r="C61" s="608"/>
      <c r="D61" s="608"/>
    </row>
    <row r="62" spans="1:4" ht="15" x14ac:dyDescent="0.2">
      <c r="A62" s="154"/>
      <c r="B62" s="154"/>
      <c r="C62" s="610"/>
      <c r="D62" s="610"/>
    </row>
    <row r="63" spans="1:4" ht="15" x14ac:dyDescent="0.2">
      <c r="A63" s="148"/>
      <c r="B63" s="148"/>
      <c r="C63" s="608"/>
      <c r="D63" s="608"/>
    </row>
    <row r="64" spans="1:4" ht="15.75" x14ac:dyDescent="0.25">
      <c r="A64" s="155" t="s">
        <v>143</v>
      </c>
      <c r="B64" s="156"/>
      <c r="C64" s="611"/>
      <c r="D64" s="612">
        <f>SUM(D5:D61)</f>
        <v>36816</v>
      </c>
    </row>
    <row r="65" spans="1:4" x14ac:dyDescent="0.2">
      <c r="A65" s="23"/>
      <c r="B65" s="23"/>
      <c r="C65" s="24"/>
      <c r="D65" s="25"/>
    </row>
    <row r="71" spans="1:4" x14ac:dyDescent="0.2">
      <c r="D71" s="68"/>
    </row>
  </sheetData>
  <sheetProtection password="C12A" sheet="1" objects="1" scenarios="1" selectLockedCells="1"/>
  <mergeCells count="1">
    <mergeCell ref="A1:D1"/>
  </mergeCells>
  <pageMargins left="0.70866141732283472" right="0.70866141732283472" top="0.78740157480314965" bottom="0.78740157480314965" header="0.31496062992125984" footer="0.31496062992125984"/>
  <pageSetup paperSize="9" scale="7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G105"/>
  <sheetViews>
    <sheetView topLeftCell="A54" zoomScaleNormal="100" zoomScaleSheetLayoutView="90" workbookViewId="0">
      <selection activeCell="C54" sqref="C54"/>
    </sheetView>
  </sheetViews>
  <sheetFormatPr baseColWidth="10" defaultRowHeight="14.25" x14ac:dyDescent="0.2"/>
  <cols>
    <col min="1" max="1" width="27.875" customWidth="1"/>
    <col min="2" max="2" width="14.125" customWidth="1"/>
    <col min="3" max="3" width="17.25" customWidth="1"/>
    <col min="4" max="4" width="22.625" customWidth="1"/>
    <col min="5" max="5" width="30.625" customWidth="1"/>
  </cols>
  <sheetData>
    <row r="1" spans="1:5" ht="25.5" customHeight="1" x14ac:dyDescent="0.2">
      <c r="A1" s="927" t="s">
        <v>418</v>
      </c>
      <c r="B1" s="927"/>
      <c r="C1" s="927"/>
      <c r="D1" s="927"/>
      <c r="E1" s="927"/>
    </row>
    <row r="2" spans="1:5" x14ac:dyDescent="0.2">
      <c r="A2" s="4"/>
      <c r="B2" s="4"/>
      <c r="C2" s="4"/>
      <c r="D2" s="4"/>
      <c r="E2" s="4"/>
    </row>
    <row r="3" spans="1:5" x14ac:dyDescent="0.2">
      <c r="A3" s="943" t="s">
        <v>145</v>
      </c>
      <c r="B3" s="944"/>
      <c r="C3" s="944"/>
      <c r="D3" s="944"/>
      <c r="E3" s="944"/>
    </row>
    <row r="4" spans="1:5" x14ac:dyDescent="0.2">
      <c r="A4" s="944"/>
      <c r="B4" s="944"/>
      <c r="C4" s="944"/>
      <c r="D4" s="944"/>
      <c r="E4" s="944"/>
    </row>
    <row r="5" spans="1:5" x14ac:dyDescent="0.2">
      <c r="A5" s="944"/>
      <c r="B5" s="944"/>
      <c r="C5" s="944"/>
      <c r="D5" s="944"/>
      <c r="E5" s="944"/>
    </row>
    <row r="6" spans="1:5" ht="15" x14ac:dyDescent="0.2">
      <c r="A6" s="210"/>
      <c r="B6" s="210"/>
      <c r="C6" s="210"/>
      <c r="D6" s="210"/>
      <c r="E6" s="210"/>
    </row>
    <row r="7" spans="1:5" ht="15" x14ac:dyDescent="0.2">
      <c r="A7" s="211"/>
      <c r="B7" s="211"/>
      <c r="C7" s="211"/>
      <c r="D7" s="211"/>
      <c r="E7" s="211"/>
    </row>
    <row r="8" spans="1:5" ht="15.75" x14ac:dyDescent="0.2">
      <c r="A8" s="212" t="s">
        <v>146</v>
      </c>
      <c r="B8" s="213"/>
      <c r="C8" s="214" t="s">
        <v>99</v>
      </c>
      <c r="D8" s="215" t="s">
        <v>100</v>
      </c>
      <c r="E8" s="216"/>
    </row>
    <row r="9" spans="1:5" ht="15" x14ac:dyDescent="0.2">
      <c r="A9" s="211"/>
      <c r="B9" s="211"/>
      <c r="C9" s="217"/>
      <c r="D9" s="217"/>
      <c r="E9" s="217"/>
    </row>
    <row r="10" spans="1:5" ht="15" x14ac:dyDescent="0.2">
      <c r="A10" s="119" t="s">
        <v>147</v>
      </c>
      <c r="B10" s="211"/>
      <c r="C10" s="218">
        <f>'Private Ausgaben'!C5+'Private Ausgaben'!C33+'Private Ausgaben'!C45</f>
        <v>1493</v>
      </c>
      <c r="D10" s="219">
        <f>C10*12</f>
        <v>17916</v>
      </c>
      <c r="E10" s="217"/>
    </row>
    <row r="11" spans="1:5" ht="15" x14ac:dyDescent="0.2">
      <c r="A11" s="189" t="s">
        <v>148</v>
      </c>
      <c r="B11" s="159"/>
      <c r="C11" s="188"/>
      <c r="D11" s="761">
        <v>4000</v>
      </c>
      <c r="E11" s="148"/>
    </row>
    <row r="12" spans="1:5" ht="15" x14ac:dyDescent="0.2">
      <c r="A12" s="189" t="s">
        <v>149</v>
      </c>
      <c r="B12" s="159"/>
      <c r="C12" s="188">
        <f>'Private Ausgaben'!C15+'Private Ausgaben'!C25</f>
        <v>775</v>
      </c>
      <c r="D12" s="220">
        <f>C12*12</f>
        <v>9300</v>
      </c>
      <c r="E12" s="148"/>
    </row>
    <row r="13" spans="1:5" ht="15" x14ac:dyDescent="0.2">
      <c r="A13" s="646" t="s">
        <v>150</v>
      </c>
      <c r="B13" s="159"/>
      <c r="C13" s="188">
        <f>'Private Ausgaben'!C55</f>
        <v>800</v>
      </c>
      <c r="D13" s="220">
        <f>C13*12</f>
        <v>9600</v>
      </c>
      <c r="E13" s="148"/>
    </row>
    <row r="14" spans="1:5" ht="15" x14ac:dyDescent="0.2">
      <c r="A14" s="221" t="s">
        <v>151</v>
      </c>
      <c r="B14" s="163"/>
      <c r="C14" s="747">
        <v>0</v>
      </c>
      <c r="D14" s="222">
        <f>C14*12</f>
        <v>0</v>
      </c>
      <c r="E14" s="154"/>
    </row>
    <row r="15" spans="1:5" ht="15.75" x14ac:dyDescent="0.25">
      <c r="A15" s="187" t="s">
        <v>189</v>
      </c>
      <c r="B15" s="192"/>
      <c r="C15" s="223"/>
      <c r="D15" s="224">
        <f>SUM(D10:D13)-D14</f>
        <v>40816</v>
      </c>
      <c r="E15" s="225"/>
    </row>
    <row r="16" spans="1:5" ht="15" x14ac:dyDescent="0.2">
      <c r="A16" s="189"/>
      <c r="B16" s="159"/>
      <c r="C16" s="228"/>
      <c r="D16" s="245"/>
      <c r="E16" s="148"/>
    </row>
    <row r="17" spans="1:5" ht="15" x14ac:dyDescent="0.2">
      <c r="A17" s="227" t="s">
        <v>152</v>
      </c>
      <c r="B17" s="162"/>
      <c r="C17" s="228"/>
      <c r="D17" s="740">
        <v>0</v>
      </c>
      <c r="E17" s="148"/>
    </row>
    <row r="18" spans="1:5" ht="15" x14ac:dyDescent="0.2">
      <c r="A18" s="227" t="s">
        <v>153</v>
      </c>
      <c r="B18" s="741">
        <v>0.01</v>
      </c>
      <c r="C18" s="229">
        <f>IF(Sicherheiten!E52=Sicherheiten!F54,0,Sicherheiten!E51)</f>
        <v>0</v>
      </c>
      <c r="D18" s="245">
        <f>ROUND(B18*C18,-2)</f>
        <v>0</v>
      </c>
      <c r="E18" s="148"/>
    </row>
    <row r="19" spans="1:5" ht="15" x14ac:dyDescent="0.2">
      <c r="A19" s="230" t="s">
        <v>154</v>
      </c>
      <c r="B19" s="163"/>
      <c r="C19" s="231"/>
      <c r="D19" s="647">
        <f>'Kapitaldienst Jahr 1-11'!C34</f>
        <v>5600</v>
      </c>
      <c r="E19" s="154"/>
    </row>
    <row r="20" spans="1:5" ht="15.75" x14ac:dyDescent="0.2">
      <c r="A20" s="187" t="s">
        <v>190</v>
      </c>
      <c r="B20" s="192"/>
      <c r="C20" s="223"/>
      <c r="D20" s="232">
        <f>D15+D19++D18+D17</f>
        <v>46416</v>
      </c>
      <c r="E20" s="148"/>
    </row>
    <row r="21" spans="1:5" ht="15" x14ac:dyDescent="0.2">
      <c r="A21" s="189"/>
      <c r="B21" s="159"/>
      <c r="C21" s="226"/>
      <c r="D21" s="188"/>
      <c r="E21" s="148"/>
    </row>
    <row r="22" spans="1:5" ht="15" x14ac:dyDescent="0.2">
      <c r="A22" s="230" t="s">
        <v>155</v>
      </c>
      <c r="B22" s="163"/>
      <c r="C22" s="231"/>
      <c r="D22" s="847">
        <v>0</v>
      </c>
      <c r="E22" s="233">
        <f>D20+D22</f>
        <v>46416</v>
      </c>
    </row>
    <row r="23" spans="1:5" ht="15" x14ac:dyDescent="0.2">
      <c r="A23" s="164"/>
      <c r="B23" s="159"/>
      <c r="C23" s="234"/>
      <c r="D23" s="159"/>
      <c r="E23" s="235"/>
    </row>
    <row r="24" spans="1:5" ht="15.75" x14ac:dyDescent="0.2">
      <c r="A24" s="165" t="s">
        <v>188</v>
      </c>
      <c r="B24" s="166"/>
      <c r="C24" s="166"/>
      <c r="D24" s="236" t="s">
        <v>156</v>
      </c>
      <c r="E24" s="237">
        <f>ROUNDUP(tilgung2,-3)</f>
        <v>47000</v>
      </c>
    </row>
    <row r="25" spans="1:5" ht="15.75" x14ac:dyDescent="0.2">
      <c r="A25" s="187"/>
      <c r="B25" s="159"/>
      <c r="C25" s="159"/>
      <c r="D25" s="159"/>
      <c r="E25" s="238"/>
    </row>
    <row r="26" spans="1:5" ht="15" x14ac:dyDescent="0.2">
      <c r="A26" s="159"/>
      <c r="B26" s="159"/>
      <c r="C26" s="159"/>
      <c r="D26" s="159"/>
      <c r="E26" s="235"/>
    </row>
    <row r="27" spans="1:5" ht="15.75" x14ac:dyDescent="0.2">
      <c r="A27" s="239" t="s">
        <v>157</v>
      </c>
      <c r="B27" s="158"/>
      <c r="C27" s="158"/>
      <c r="D27" s="240" t="s">
        <v>100</v>
      </c>
      <c r="E27" s="241"/>
    </row>
    <row r="28" spans="1:5" ht="15.75" x14ac:dyDescent="0.2">
      <c r="A28" s="187"/>
      <c r="B28" s="159"/>
      <c r="C28" s="159"/>
      <c r="D28" s="148"/>
      <c r="E28" s="242"/>
    </row>
    <row r="29" spans="1:5" ht="15" x14ac:dyDescent="0.2">
      <c r="A29" s="164" t="s">
        <v>192</v>
      </c>
      <c r="B29" s="159"/>
      <c r="C29" s="162"/>
      <c r="D29" s="740">
        <v>14000</v>
      </c>
      <c r="E29" s="243"/>
    </row>
    <row r="30" spans="1:5" ht="15" x14ac:dyDescent="0.2">
      <c r="A30" s="164" t="s">
        <v>397</v>
      </c>
      <c r="B30" s="159"/>
      <c r="C30" s="162"/>
      <c r="D30" s="740">
        <v>5000</v>
      </c>
      <c r="E30" s="243"/>
    </row>
    <row r="31" spans="1:5" ht="15" x14ac:dyDescent="0.2">
      <c r="A31" s="164" t="s">
        <v>193</v>
      </c>
      <c r="B31" s="159"/>
      <c r="C31" s="162"/>
      <c r="D31" s="740">
        <v>2000</v>
      </c>
      <c r="E31" s="243"/>
    </row>
    <row r="32" spans="1:5" ht="15" x14ac:dyDescent="0.2">
      <c r="A32" s="164" t="s">
        <v>398</v>
      </c>
      <c r="B32" s="159"/>
      <c r="C32" s="162"/>
      <c r="D32" s="740">
        <v>2500</v>
      </c>
      <c r="E32" s="243"/>
    </row>
    <row r="33" spans="1:5" ht="15" x14ac:dyDescent="0.2">
      <c r="A33" s="164" t="s">
        <v>341</v>
      </c>
      <c r="B33" s="159"/>
      <c r="C33" s="162"/>
      <c r="D33" s="740">
        <v>2000</v>
      </c>
      <c r="E33" s="243"/>
    </row>
    <row r="34" spans="1:5" ht="15" x14ac:dyDescent="0.2">
      <c r="A34" s="164" t="s">
        <v>399</v>
      </c>
      <c r="B34" s="159"/>
      <c r="C34" s="162"/>
      <c r="D34" s="740">
        <v>1500</v>
      </c>
      <c r="E34" s="243"/>
    </row>
    <row r="35" spans="1:5" ht="15" x14ac:dyDescent="0.2">
      <c r="A35" s="164" t="s">
        <v>194</v>
      </c>
      <c r="B35" s="159"/>
      <c r="C35" s="162"/>
      <c r="D35" s="740">
        <v>4000</v>
      </c>
      <c r="E35" s="243"/>
    </row>
    <row r="36" spans="1:5" ht="15" x14ac:dyDescent="0.2">
      <c r="A36" s="164" t="s">
        <v>342</v>
      </c>
      <c r="B36" s="159"/>
      <c r="C36" s="162"/>
      <c r="D36" s="740">
        <v>2300</v>
      </c>
      <c r="E36" s="243"/>
    </row>
    <row r="37" spans="1:5" ht="15" x14ac:dyDescent="0.2">
      <c r="A37" s="164" t="s">
        <v>400</v>
      </c>
      <c r="B37" s="159"/>
      <c r="C37" s="162"/>
      <c r="D37" s="740">
        <v>203</v>
      </c>
      <c r="E37" s="243"/>
    </row>
    <row r="38" spans="1:5" ht="15" x14ac:dyDescent="0.2">
      <c r="A38" s="207" t="s">
        <v>195</v>
      </c>
      <c r="B38" s="159"/>
      <c r="C38" s="162"/>
      <c r="D38" s="740">
        <v>0</v>
      </c>
      <c r="E38" s="243"/>
    </row>
    <row r="39" spans="1:5" ht="15" x14ac:dyDescent="0.2">
      <c r="A39" s="748"/>
      <c r="B39" s="163"/>
      <c r="C39" s="163"/>
      <c r="D39" s="647"/>
      <c r="E39" s="244">
        <f>SUM(D29:D39)</f>
        <v>33503</v>
      </c>
    </row>
    <row r="40" spans="1:5" ht="15" x14ac:dyDescent="0.2">
      <c r="A40" s="207"/>
      <c r="B40" s="162"/>
      <c r="C40" s="162"/>
      <c r="D40" s="245"/>
      <c r="E40" s="246"/>
    </row>
    <row r="41" spans="1:5" ht="15.75" x14ac:dyDescent="0.2">
      <c r="A41" s="247" t="s">
        <v>191</v>
      </c>
      <c r="B41" s="248"/>
      <c r="C41" s="248"/>
      <c r="D41" s="249"/>
      <c r="E41" s="237">
        <f>E24+E39</f>
        <v>80503</v>
      </c>
    </row>
    <row r="42" spans="1:5" ht="15.75" x14ac:dyDescent="0.2">
      <c r="A42" s="250"/>
      <c r="B42" s="250"/>
      <c r="C42" s="250"/>
      <c r="D42" s="251"/>
      <c r="E42" s="252"/>
    </row>
    <row r="43" spans="1:5" ht="15.75" x14ac:dyDescent="0.2">
      <c r="A43" s="250"/>
      <c r="B43" s="250"/>
      <c r="C43" s="250"/>
      <c r="D43" s="251"/>
      <c r="E43" s="252"/>
    </row>
    <row r="44" spans="1:5" ht="15.75" x14ac:dyDescent="0.2">
      <c r="A44" s="239" t="s">
        <v>158</v>
      </c>
      <c r="B44" s="212"/>
      <c r="C44" s="212"/>
      <c r="D44" s="648"/>
      <c r="E44" s="649"/>
    </row>
    <row r="45" spans="1:5" ht="15" x14ac:dyDescent="0.2">
      <c r="A45" s="699"/>
      <c r="B45" s="650" t="s">
        <v>159</v>
      </c>
      <c r="C45" s="651" t="s">
        <v>160</v>
      </c>
      <c r="D45" s="651" t="s">
        <v>161</v>
      </c>
      <c r="E45" s="652"/>
    </row>
    <row r="46" spans="1:5" ht="15" x14ac:dyDescent="0.2">
      <c r="A46" s="159"/>
      <c r="B46" s="152"/>
      <c r="C46" s="653"/>
      <c r="D46" s="653"/>
      <c r="E46" s="149"/>
    </row>
    <row r="47" spans="1:5" ht="15" x14ac:dyDescent="0.2">
      <c r="A47" s="159" t="s">
        <v>162</v>
      </c>
      <c r="B47" s="742">
        <v>0</v>
      </c>
      <c r="C47" s="744">
        <v>0</v>
      </c>
      <c r="D47" s="228">
        <f>B47*C47*15</f>
        <v>0</v>
      </c>
      <c r="E47" s="654"/>
    </row>
    <row r="48" spans="1:5" ht="15" x14ac:dyDescent="0.2">
      <c r="A48" s="164" t="s">
        <v>163</v>
      </c>
      <c r="B48" s="742">
        <v>0</v>
      </c>
      <c r="C48" s="744">
        <v>0</v>
      </c>
      <c r="D48" s="228">
        <f t="shared" ref="D48:D55" si="0">B48*C48*12*1.2</f>
        <v>0</v>
      </c>
      <c r="E48" s="654"/>
    </row>
    <row r="49" spans="1:5" ht="15" x14ac:dyDescent="0.2">
      <c r="A49" s="164" t="s">
        <v>164</v>
      </c>
      <c r="B49" s="742">
        <v>1</v>
      </c>
      <c r="C49" s="744">
        <v>2500</v>
      </c>
      <c r="D49" s="228">
        <f t="shared" si="0"/>
        <v>36000</v>
      </c>
      <c r="E49" s="654"/>
    </row>
    <row r="50" spans="1:5" ht="15" x14ac:dyDescent="0.2">
      <c r="A50" s="164" t="s">
        <v>165</v>
      </c>
      <c r="B50" s="742">
        <v>0</v>
      </c>
      <c r="C50" s="744">
        <v>0</v>
      </c>
      <c r="D50" s="228">
        <f t="shared" si="0"/>
        <v>0</v>
      </c>
      <c r="E50" s="654"/>
    </row>
    <row r="51" spans="1:5" ht="15" x14ac:dyDescent="0.2">
      <c r="A51" s="164" t="s">
        <v>166</v>
      </c>
      <c r="B51" s="742">
        <v>0</v>
      </c>
      <c r="C51" s="744">
        <v>0</v>
      </c>
      <c r="D51" s="228">
        <f t="shared" si="0"/>
        <v>0</v>
      </c>
      <c r="E51" s="654"/>
    </row>
    <row r="52" spans="1:5" ht="15" x14ac:dyDescent="0.2">
      <c r="A52" s="207" t="s">
        <v>167</v>
      </c>
      <c r="B52" s="742">
        <v>0</v>
      </c>
      <c r="C52" s="744">
        <v>0</v>
      </c>
      <c r="D52" s="228">
        <f t="shared" si="0"/>
        <v>0</v>
      </c>
      <c r="E52" s="654"/>
    </row>
    <row r="53" spans="1:5" ht="15" x14ac:dyDescent="0.2">
      <c r="A53" s="164" t="s">
        <v>168</v>
      </c>
      <c r="B53" s="742">
        <v>1</v>
      </c>
      <c r="C53" s="744">
        <v>450</v>
      </c>
      <c r="D53" s="228">
        <f t="shared" si="0"/>
        <v>6480</v>
      </c>
      <c r="E53" s="654"/>
    </row>
    <row r="54" spans="1:5" ht="15" x14ac:dyDescent="0.2">
      <c r="A54" s="164" t="s">
        <v>169</v>
      </c>
      <c r="B54" s="742">
        <v>0</v>
      </c>
      <c r="C54" s="744">
        <v>0</v>
      </c>
      <c r="D54" s="228">
        <f t="shared" si="0"/>
        <v>0</v>
      </c>
      <c r="E54" s="654"/>
    </row>
    <row r="55" spans="1:5" ht="15" x14ac:dyDescent="0.2">
      <c r="A55" s="221" t="s">
        <v>170</v>
      </c>
      <c r="B55" s="743">
        <v>0</v>
      </c>
      <c r="C55" s="745">
        <v>0</v>
      </c>
      <c r="D55" s="231">
        <f t="shared" si="0"/>
        <v>0</v>
      </c>
      <c r="E55" s="233">
        <f>ROUND(SUM(D47:D55),-2)</f>
        <v>42500</v>
      </c>
    </row>
    <row r="56" spans="1:5" ht="15" x14ac:dyDescent="0.2">
      <c r="A56" s="253"/>
      <c r="B56" s="254"/>
      <c r="C56" s="255"/>
      <c r="D56" s="256"/>
      <c r="E56" s="257"/>
    </row>
    <row r="57" spans="1:5" ht="15.75" x14ac:dyDescent="0.2">
      <c r="A57" s="258" t="s">
        <v>196</v>
      </c>
      <c r="B57" s="259"/>
      <c r="C57" s="259"/>
      <c r="D57" s="259"/>
      <c r="E57" s="260">
        <f>E41+E55</f>
        <v>123003</v>
      </c>
    </row>
    <row r="58" spans="1:5" ht="16.5" customHeight="1" x14ac:dyDescent="0.2">
      <c r="A58" s="261"/>
      <c r="B58" s="114"/>
      <c r="C58" s="114"/>
      <c r="D58" s="114"/>
      <c r="E58" s="262"/>
    </row>
    <row r="59" spans="1:5" ht="15" x14ac:dyDescent="0.2">
      <c r="A59" s="749" t="s">
        <v>197</v>
      </c>
      <c r="B59" s="159"/>
      <c r="C59" s="159"/>
      <c r="D59" s="159"/>
      <c r="E59" s="159"/>
    </row>
    <row r="60" spans="1:5" ht="15" x14ac:dyDescent="0.2">
      <c r="A60" s="159" t="s">
        <v>198</v>
      </c>
      <c r="B60" s="750"/>
      <c r="C60" s="750"/>
      <c r="D60" s="750"/>
      <c r="E60" s="750"/>
    </row>
    <row r="61" spans="1:5" ht="15" x14ac:dyDescent="0.2">
      <c r="A61" s="159" t="s">
        <v>343</v>
      </c>
      <c r="B61" s="750"/>
      <c r="C61" s="750"/>
      <c r="D61" s="750"/>
      <c r="E61" s="750"/>
    </row>
    <row r="62" spans="1:5" ht="15.75" x14ac:dyDescent="0.2">
      <c r="A62" s="211"/>
      <c r="B62" s="211"/>
      <c r="C62" s="211"/>
      <c r="D62" s="211"/>
      <c r="E62" s="263"/>
    </row>
    <row r="63" spans="1:5" ht="15.75" x14ac:dyDescent="0.2">
      <c r="A63" s="727"/>
      <c r="B63" s="211"/>
      <c r="C63" s="217"/>
      <c r="D63" s="217"/>
      <c r="E63" s="263"/>
    </row>
    <row r="64" spans="1:5" ht="15.75" x14ac:dyDescent="0.2">
      <c r="A64" s="264" t="s">
        <v>171</v>
      </c>
      <c r="B64" s="265"/>
      <c r="C64" s="266"/>
      <c r="D64" s="266"/>
      <c r="E64" s="267"/>
    </row>
    <row r="65" spans="1:5" ht="15.75" x14ac:dyDescent="0.2">
      <c r="A65" s="268"/>
      <c r="B65" s="211"/>
      <c r="C65" s="217"/>
      <c r="D65" s="217"/>
      <c r="E65" s="263"/>
    </row>
    <row r="66" spans="1:5" ht="15" x14ac:dyDescent="0.2">
      <c r="A66" s="160"/>
      <c r="B66" s="159"/>
      <c r="C66" s="148"/>
      <c r="D66" s="148"/>
      <c r="E66" s="159"/>
    </row>
    <row r="67" spans="1:5" ht="15.75" x14ac:dyDescent="0.2">
      <c r="A67" s="189" t="s">
        <v>172</v>
      </c>
      <c r="B67" s="148"/>
      <c r="C67" s="269">
        <f>E57-C68</f>
        <v>123003</v>
      </c>
      <c r="D67" s="270" t="s">
        <v>173</v>
      </c>
      <c r="E67" s="271">
        <f>IF(C67&gt;E57,1,SUM(C67)/E57)</f>
        <v>1</v>
      </c>
    </row>
    <row r="68" spans="1:5" ht="15.75" x14ac:dyDescent="0.2">
      <c r="A68" s="189" t="s">
        <v>172</v>
      </c>
      <c r="B68" s="148"/>
      <c r="C68" s="762">
        <v>0</v>
      </c>
      <c r="D68" s="272" t="s">
        <v>174</v>
      </c>
      <c r="E68" s="273">
        <f>SUM(C68)/E57</f>
        <v>0</v>
      </c>
    </row>
    <row r="69" spans="1:5" ht="15" x14ac:dyDescent="0.2">
      <c r="A69" s="159"/>
      <c r="B69" s="159"/>
      <c r="C69" s="159"/>
      <c r="D69" s="159"/>
      <c r="E69" s="159"/>
    </row>
    <row r="70" spans="1:5" ht="15" x14ac:dyDescent="0.2">
      <c r="A70" s="159" t="s">
        <v>175</v>
      </c>
      <c r="B70" s="159"/>
      <c r="C70" s="159"/>
      <c r="D70" s="159"/>
      <c r="E70" s="159"/>
    </row>
    <row r="71" spans="1:5" ht="15" x14ac:dyDescent="0.2">
      <c r="A71" s="159" t="s">
        <v>176</v>
      </c>
      <c r="B71" s="159"/>
      <c r="C71" s="159"/>
      <c r="D71" s="159"/>
      <c r="E71" s="159"/>
    </row>
    <row r="72" spans="1:5" ht="15" x14ac:dyDescent="0.2">
      <c r="A72" s="159"/>
      <c r="B72" s="159"/>
      <c r="C72" s="159"/>
      <c r="D72" s="159"/>
      <c r="E72" s="159"/>
    </row>
    <row r="73" spans="1:5" ht="15" x14ac:dyDescent="0.2">
      <c r="A73" s="159"/>
      <c r="B73" s="159"/>
      <c r="C73" s="159"/>
      <c r="D73" s="159"/>
      <c r="E73" s="159"/>
    </row>
    <row r="74" spans="1:5" ht="15" x14ac:dyDescent="0.2">
      <c r="A74" s="159"/>
      <c r="B74" s="159"/>
      <c r="C74" s="159"/>
      <c r="D74" s="159"/>
      <c r="E74" s="159"/>
    </row>
    <row r="75" spans="1:5" ht="15.75" x14ac:dyDescent="0.2">
      <c r="A75" s="157" t="s">
        <v>177</v>
      </c>
      <c r="B75" s="274"/>
      <c r="C75" s="274"/>
      <c r="D75" s="274"/>
      <c r="E75" s="274" t="s">
        <v>27</v>
      </c>
    </row>
    <row r="76" spans="1:5" ht="15" x14ac:dyDescent="0.2">
      <c r="A76" s="159"/>
      <c r="B76" s="159"/>
      <c r="C76" s="159"/>
      <c r="D76" s="159"/>
      <c r="E76" s="159"/>
    </row>
    <row r="77" spans="1:5" ht="15" x14ac:dyDescent="0.2">
      <c r="A77" s="164" t="s">
        <v>178</v>
      </c>
      <c r="B77" s="148"/>
      <c r="C77" s="159"/>
      <c r="D77" s="746">
        <v>0.35</v>
      </c>
      <c r="E77" s="172"/>
    </row>
    <row r="78" spans="1:5" ht="15" x14ac:dyDescent="0.2">
      <c r="A78" s="164" t="s">
        <v>179</v>
      </c>
      <c r="B78" s="275"/>
      <c r="C78" s="159"/>
      <c r="D78" s="276">
        <f>1-D77</f>
        <v>0.65</v>
      </c>
      <c r="E78" s="277">
        <f>ROUND(C67,-3)</f>
        <v>123000</v>
      </c>
    </row>
    <row r="79" spans="1:5" ht="15" x14ac:dyDescent="0.2">
      <c r="A79" s="221" t="s">
        <v>180</v>
      </c>
      <c r="B79" s="163"/>
      <c r="C79" s="163"/>
      <c r="D79" s="163"/>
      <c r="E79" s="278">
        <f>ROUND(C67*D77/(1-D77),-3)</f>
        <v>66000</v>
      </c>
    </row>
    <row r="80" spans="1:5" ht="15" x14ac:dyDescent="0.2">
      <c r="A80" s="207"/>
      <c r="B80" s="162"/>
      <c r="C80" s="162"/>
      <c r="D80" s="162"/>
      <c r="E80" s="279"/>
    </row>
    <row r="81" spans="1:7" ht="15.75" x14ac:dyDescent="0.2">
      <c r="A81" s="280" t="s">
        <v>181</v>
      </c>
      <c r="B81" s="166"/>
      <c r="C81" s="166"/>
      <c r="D81" s="166"/>
      <c r="E81" s="237">
        <f>E78+E79</f>
        <v>189000</v>
      </c>
    </row>
    <row r="82" spans="1:7" ht="15.75" x14ac:dyDescent="0.2">
      <c r="A82" s="187"/>
      <c r="B82" s="159"/>
      <c r="C82" s="159"/>
      <c r="D82" s="159"/>
      <c r="E82" s="281"/>
    </row>
    <row r="83" spans="1:7" ht="15.75" x14ac:dyDescent="0.2">
      <c r="A83" s="164" t="s">
        <v>182</v>
      </c>
      <c r="B83" s="159"/>
      <c r="C83" s="159"/>
      <c r="D83" s="159"/>
      <c r="E83" s="281"/>
    </row>
    <row r="84" spans="1:7" ht="15.75" x14ac:dyDescent="0.2">
      <c r="A84" s="164"/>
      <c r="B84" s="159"/>
      <c r="C84" s="159"/>
      <c r="D84" s="159"/>
      <c r="E84" s="281"/>
    </row>
    <row r="85" spans="1:7" ht="15" x14ac:dyDescent="0.2">
      <c r="A85" s="193" t="s">
        <v>336</v>
      </c>
      <c r="B85" s="751"/>
      <c r="C85" s="751"/>
      <c r="D85" s="751"/>
      <c r="E85" s="750"/>
      <c r="F85" s="66"/>
      <c r="G85" s="66"/>
    </row>
    <row r="86" spans="1:7" ht="15" x14ac:dyDescent="0.2">
      <c r="A86" s="193" t="s">
        <v>324</v>
      </c>
      <c r="B86" s="751"/>
      <c r="C86" s="751"/>
      <c r="D86" s="751"/>
      <c r="E86" s="750"/>
      <c r="F86" s="66"/>
      <c r="G86" s="66"/>
    </row>
    <row r="87" spans="1:7" ht="15" x14ac:dyDescent="0.2">
      <c r="A87" s="751"/>
      <c r="B87" s="751"/>
      <c r="C87" s="751"/>
      <c r="D87" s="751"/>
      <c r="E87" s="751"/>
    </row>
    <row r="88" spans="1:7" ht="15" x14ac:dyDescent="0.2">
      <c r="A88" s="193" t="s">
        <v>325</v>
      </c>
      <c r="B88" s="193"/>
      <c r="C88" s="752">
        <f>E78</f>
        <v>123000</v>
      </c>
      <c r="D88" s="753" t="s">
        <v>183</v>
      </c>
      <c r="E88" s="754">
        <f>1-D77</f>
        <v>0.65</v>
      </c>
    </row>
    <row r="89" spans="1:7" ht="15" x14ac:dyDescent="0.2">
      <c r="A89" s="750" t="s">
        <v>326</v>
      </c>
      <c r="B89" s="755">
        <f>D77</f>
        <v>0.35</v>
      </c>
      <c r="C89" s="756">
        <f>C88</f>
        <v>123000</v>
      </c>
      <c r="D89" s="148"/>
      <c r="E89" s="757">
        <f>(B89*C89)/B91</f>
        <v>66230.769230769234</v>
      </c>
    </row>
    <row r="90" spans="1:7" ht="15" x14ac:dyDescent="0.2">
      <c r="A90" s="159"/>
      <c r="B90" s="191" t="s">
        <v>184</v>
      </c>
      <c r="C90" s="758"/>
      <c r="D90" s="759" t="s">
        <v>183</v>
      </c>
      <c r="E90" s="760"/>
    </row>
    <row r="91" spans="1:7" ht="15" x14ac:dyDescent="0.2">
      <c r="A91" s="159"/>
      <c r="B91" s="282">
        <f>E88</f>
        <v>0.65</v>
      </c>
      <c r="C91" s="283"/>
      <c r="D91" s="159"/>
      <c r="E91" s="760"/>
    </row>
    <row r="92" spans="1:7" ht="15" x14ac:dyDescent="0.2">
      <c r="A92" s="159"/>
      <c r="B92" s="282"/>
      <c r="C92" s="283"/>
      <c r="D92" s="159"/>
      <c r="E92" s="190"/>
    </row>
    <row r="93" spans="1:7" ht="15" x14ac:dyDescent="0.2">
      <c r="A93" s="159"/>
      <c r="B93" s="284"/>
      <c r="C93" s="284"/>
      <c r="D93" s="159"/>
      <c r="E93" s="159"/>
    </row>
    <row r="94" spans="1:7" ht="15.75" x14ac:dyDescent="0.2">
      <c r="A94" s="285" t="s">
        <v>185</v>
      </c>
      <c r="B94" s="286"/>
      <c r="C94" s="286"/>
      <c r="D94" s="286"/>
      <c r="E94" s="286"/>
    </row>
    <row r="95" spans="1:7" ht="15" x14ac:dyDescent="0.2">
      <c r="A95" s="159"/>
      <c r="B95" s="159"/>
      <c r="C95" s="159"/>
      <c r="D95" s="159"/>
      <c r="E95" s="159"/>
    </row>
    <row r="96" spans="1:7" ht="15" x14ac:dyDescent="0.2">
      <c r="A96" s="164"/>
      <c r="B96" s="275"/>
      <c r="C96" s="159"/>
      <c r="D96" s="152"/>
      <c r="E96" s="162"/>
    </row>
    <row r="97" spans="1:5" ht="15" x14ac:dyDescent="0.2">
      <c r="A97" s="207" t="s">
        <v>252</v>
      </c>
      <c r="B97" s="162"/>
      <c r="C97" s="162"/>
      <c r="D97" s="152"/>
      <c r="E97" s="287">
        <f>C68</f>
        <v>0</v>
      </c>
    </row>
    <row r="98" spans="1:5" ht="15" x14ac:dyDescent="0.2">
      <c r="A98" s="221" t="s">
        <v>327</v>
      </c>
      <c r="B98" s="163"/>
      <c r="C98" s="163"/>
      <c r="D98" s="763">
        <v>0.2</v>
      </c>
      <c r="E98" s="675">
        <f>IF(D98=0,0,ROUND(E97*D98/1,))</f>
        <v>0</v>
      </c>
    </row>
    <row r="99" spans="1:5" ht="15" x14ac:dyDescent="0.2">
      <c r="A99" s="207"/>
      <c r="B99" s="162"/>
      <c r="C99" s="162"/>
      <c r="D99" s="162"/>
      <c r="E99" s="289"/>
    </row>
    <row r="100" spans="1:5" ht="15.75" x14ac:dyDescent="0.2">
      <c r="A100" s="165" t="s">
        <v>199</v>
      </c>
      <c r="B100" s="248"/>
      <c r="C100" s="248"/>
      <c r="D100" s="248"/>
      <c r="E100" s="290">
        <f>E97+E98</f>
        <v>0</v>
      </c>
    </row>
    <row r="101" spans="1:5" ht="15.75" x14ac:dyDescent="0.2">
      <c r="A101" s="291"/>
      <c r="B101" s="250"/>
      <c r="C101" s="250"/>
      <c r="D101" s="250"/>
      <c r="E101" s="292"/>
    </row>
    <row r="102" spans="1:5" ht="15.75" x14ac:dyDescent="0.2">
      <c r="A102" s="164" t="s">
        <v>186</v>
      </c>
      <c r="B102" s="159"/>
      <c r="C102" s="159"/>
      <c r="D102" s="159"/>
      <c r="E102" s="281"/>
    </row>
    <row r="103" spans="1:5" ht="15.75" x14ac:dyDescent="0.2">
      <c r="A103" s="164" t="s">
        <v>187</v>
      </c>
      <c r="B103" s="159"/>
      <c r="C103" s="159"/>
      <c r="D103" s="159"/>
      <c r="E103" s="281"/>
    </row>
    <row r="104" spans="1:5" x14ac:dyDescent="0.2">
      <c r="A104" s="1"/>
      <c r="B104" s="2"/>
      <c r="C104" s="2"/>
      <c r="D104" s="2"/>
      <c r="E104" s="28"/>
    </row>
    <row r="105" spans="1:5" x14ac:dyDescent="0.2">
      <c r="A105" s="27"/>
      <c r="B105" s="27"/>
      <c r="C105" s="27"/>
      <c r="D105" s="27"/>
      <c r="E105" s="27"/>
    </row>
  </sheetData>
  <sheetProtection password="C12A" sheet="1" objects="1" scenarios="1" selectLockedCells="1"/>
  <mergeCells count="2">
    <mergeCell ref="A1:E1"/>
    <mergeCell ref="A3:E5"/>
  </mergeCells>
  <pageMargins left="0.70866141732283472" right="0.70866141732283472" top="0.78740157480314965" bottom="0.78740157480314965" header="0.31496062992125984" footer="0.31496062992125984"/>
  <pageSetup paperSize="9" scale="71" orientation="portrait" r:id="rId1"/>
  <rowBreaks count="1" manualBreakCount="1">
    <brk id="57" max="4"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S62"/>
  <sheetViews>
    <sheetView topLeftCell="C1" zoomScaleNormal="100" zoomScaleSheetLayoutView="90" workbookViewId="0">
      <selection activeCell="C17" sqref="C17"/>
    </sheetView>
  </sheetViews>
  <sheetFormatPr baseColWidth="10" defaultRowHeight="14.25" x14ac:dyDescent="0.2"/>
  <cols>
    <col min="2" max="2" width="17.75" customWidth="1"/>
    <col min="3" max="4" width="11.25" customWidth="1"/>
    <col min="5" max="5" width="5.5" customWidth="1"/>
    <col min="6" max="6" width="11.25" customWidth="1"/>
    <col min="7" max="7" width="11" customWidth="1"/>
    <col min="8" max="8" width="5.25" customWidth="1"/>
    <col min="9" max="10" width="11.25" customWidth="1"/>
    <col min="12" max="12" width="16.375" customWidth="1"/>
    <col min="13" max="13" width="9.75" customWidth="1"/>
    <col min="15" max="15" width="12.625" customWidth="1"/>
    <col min="17" max="17" width="15.75" customWidth="1"/>
    <col min="19" max="19" width="14" customWidth="1"/>
  </cols>
  <sheetData>
    <row r="1" spans="1:19" ht="16.5" customHeight="1" x14ac:dyDescent="0.2">
      <c r="A1" s="927" t="s">
        <v>200</v>
      </c>
      <c r="B1" s="927"/>
      <c r="C1" s="927"/>
      <c r="D1" s="927"/>
      <c r="E1" s="927"/>
      <c r="F1" s="927"/>
      <c r="G1" s="927"/>
      <c r="H1" s="927"/>
      <c r="I1" s="927"/>
      <c r="J1" s="927"/>
      <c r="K1" s="945" t="s">
        <v>201</v>
      </c>
      <c r="L1" s="945"/>
      <c r="M1" s="945"/>
      <c r="N1" s="945"/>
      <c r="O1" s="945"/>
      <c r="P1" s="945"/>
      <c r="Q1" s="945"/>
      <c r="R1" s="945"/>
      <c r="S1" s="764"/>
    </row>
    <row r="2" spans="1:19" ht="16.5" customHeight="1" x14ac:dyDescent="0.2">
      <c r="A2" s="927"/>
      <c r="B2" s="927"/>
      <c r="C2" s="927"/>
      <c r="D2" s="927"/>
      <c r="E2" s="927"/>
      <c r="F2" s="927"/>
      <c r="G2" s="927"/>
      <c r="H2" s="927"/>
      <c r="I2" s="927"/>
      <c r="J2" s="927"/>
      <c r="K2" s="945"/>
      <c r="L2" s="945"/>
      <c r="M2" s="945"/>
      <c r="N2" s="945"/>
      <c r="O2" s="945"/>
      <c r="P2" s="945"/>
      <c r="Q2" s="945"/>
      <c r="R2" s="945"/>
      <c r="S2" s="764"/>
    </row>
    <row r="3" spans="1:19" ht="16.5" thickBot="1" x14ac:dyDescent="0.25">
      <c r="A3" s="107"/>
      <c r="B3" s="293"/>
      <c r="C3" s="293"/>
      <c r="D3" s="293"/>
      <c r="E3" s="293"/>
      <c r="F3" s="293"/>
      <c r="G3" s="293"/>
      <c r="H3" s="293"/>
      <c r="I3" s="293"/>
      <c r="J3" s="293"/>
      <c r="K3" s="294"/>
      <c r="L3" s="217"/>
      <c r="M3" s="217"/>
      <c r="N3" s="727"/>
      <c r="O3" s="727"/>
      <c r="P3" s="727"/>
      <c r="Q3" s="727"/>
      <c r="R3" s="727"/>
      <c r="S3" s="112"/>
    </row>
    <row r="4" spans="1:19" ht="16.5" customHeight="1" x14ac:dyDescent="0.2">
      <c r="A4" s="953" t="s">
        <v>349</v>
      </c>
      <c r="B4" s="953"/>
      <c r="C4" s="953"/>
      <c r="D4" s="953"/>
      <c r="E4" s="953"/>
      <c r="F4" s="953"/>
      <c r="G4" s="953"/>
      <c r="H4" s="953"/>
      <c r="I4" s="953"/>
      <c r="J4" s="953"/>
      <c r="K4" s="699"/>
      <c r="L4" s="727"/>
      <c r="M4" s="727"/>
      <c r="N4" s="954" t="s">
        <v>201</v>
      </c>
      <c r="O4" s="955"/>
      <c r="P4" s="699"/>
      <c r="Q4" s="699"/>
      <c r="R4" s="699"/>
    </row>
    <row r="5" spans="1:19" ht="15.75" thickBot="1" x14ac:dyDescent="0.25">
      <c r="A5" s="953"/>
      <c r="B5" s="953"/>
      <c r="C5" s="953"/>
      <c r="D5" s="953"/>
      <c r="E5" s="953"/>
      <c r="F5" s="953"/>
      <c r="G5" s="953"/>
      <c r="H5" s="953"/>
      <c r="I5" s="953"/>
      <c r="J5" s="953"/>
      <c r="K5" s="699"/>
      <c r="L5" s="727"/>
      <c r="M5" s="727"/>
      <c r="N5" s="956"/>
      <c r="O5" s="957"/>
      <c r="P5" s="699"/>
      <c r="Q5" s="699"/>
      <c r="R5" s="699"/>
    </row>
    <row r="6" spans="1:19" ht="15" x14ac:dyDescent="0.2">
      <c r="A6" s="953"/>
      <c r="B6" s="953"/>
      <c r="C6" s="953"/>
      <c r="D6" s="953"/>
      <c r="E6" s="953"/>
      <c r="F6" s="953"/>
      <c r="G6" s="953"/>
      <c r="H6" s="953"/>
      <c r="I6" s="953"/>
      <c r="J6" s="953"/>
      <c r="K6" s="699"/>
      <c r="L6" s="727"/>
      <c r="M6" s="727"/>
      <c r="N6" s="295"/>
      <c r="O6" s="296"/>
      <c r="P6" s="699"/>
      <c r="Q6" s="699"/>
      <c r="R6" s="699"/>
    </row>
    <row r="7" spans="1:19" ht="15" x14ac:dyDescent="0.2">
      <c r="A7" s="953"/>
      <c r="B7" s="953"/>
      <c r="C7" s="953"/>
      <c r="D7" s="953"/>
      <c r="E7" s="953"/>
      <c r="F7" s="953"/>
      <c r="G7" s="953"/>
      <c r="H7" s="953"/>
      <c r="I7" s="953"/>
      <c r="J7" s="953"/>
      <c r="K7" s="699"/>
      <c r="L7" s="119" t="s">
        <v>205</v>
      </c>
      <c r="M7" s="299"/>
      <c r="N7" s="300">
        <f>ROUNDUP(Mindestumsatz!E81,-3)</f>
        <v>189000</v>
      </c>
      <c r="O7" s="301">
        <v>1</v>
      </c>
      <c r="P7" s="699"/>
      <c r="Q7" s="699"/>
      <c r="R7" s="699"/>
    </row>
    <row r="8" spans="1:19" ht="15" x14ac:dyDescent="0.2">
      <c r="A8" s="953"/>
      <c r="B8" s="953"/>
      <c r="C8" s="953"/>
      <c r="D8" s="953"/>
      <c r="E8" s="953"/>
      <c r="F8" s="953"/>
      <c r="G8" s="953"/>
      <c r="H8" s="953"/>
      <c r="I8" s="953"/>
      <c r="J8" s="953"/>
      <c r="K8" s="699"/>
      <c r="L8" s="119" t="s">
        <v>206</v>
      </c>
      <c r="M8" s="299"/>
      <c r="N8" s="300">
        <f>Mindestumsatz!E79</f>
        <v>66000</v>
      </c>
      <c r="O8" s="301">
        <f>Mindestumsatz!D77</f>
        <v>0.35</v>
      </c>
      <c r="P8" s="699"/>
      <c r="Q8" s="699"/>
      <c r="R8" s="699"/>
    </row>
    <row r="9" spans="1:19" ht="15" x14ac:dyDescent="0.2">
      <c r="A9" s="953"/>
      <c r="B9" s="953"/>
      <c r="C9" s="953"/>
      <c r="D9" s="953"/>
      <c r="E9" s="953"/>
      <c r="F9" s="953"/>
      <c r="G9" s="953"/>
      <c r="H9" s="953"/>
      <c r="I9" s="953"/>
      <c r="J9" s="953"/>
      <c r="K9" s="699"/>
      <c r="L9" s="119"/>
      <c r="M9" s="299"/>
      <c r="N9" s="300"/>
      <c r="O9" s="301"/>
      <c r="P9" s="699"/>
      <c r="Q9" s="699"/>
      <c r="R9" s="699"/>
    </row>
    <row r="10" spans="1:19" ht="15" x14ac:dyDescent="0.2">
      <c r="A10" s="211"/>
      <c r="B10" s="299"/>
      <c r="C10" s="299"/>
      <c r="D10" s="299"/>
      <c r="E10" s="299"/>
      <c r="F10" s="299"/>
      <c r="G10" s="299"/>
      <c r="H10" s="299"/>
      <c r="I10" s="299"/>
      <c r="J10" s="299"/>
      <c r="K10" s="699"/>
      <c r="L10" s="119" t="s">
        <v>207</v>
      </c>
      <c r="M10" s="299"/>
      <c r="N10" s="300">
        <f>ROUNDUP(Mindestumsatz!E100,-3)</f>
        <v>0</v>
      </c>
      <c r="O10" s="301">
        <v>1</v>
      </c>
      <c r="P10" s="699"/>
      <c r="Q10" s="699"/>
      <c r="R10" s="699"/>
    </row>
    <row r="11" spans="1:19" ht="15" x14ac:dyDescent="0.2">
      <c r="A11" s="211"/>
      <c r="B11" s="299"/>
      <c r="C11" s="159"/>
      <c r="D11" s="159"/>
      <c r="E11" s="159"/>
      <c r="F11" s="159"/>
      <c r="G11" s="159"/>
      <c r="H11" s="159"/>
      <c r="I11" s="159"/>
      <c r="J11" s="159"/>
      <c r="K11" s="699"/>
      <c r="L11" s="119" t="s">
        <v>208</v>
      </c>
      <c r="M11" s="299"/>
      <c r="N11" s="300">
        <f>Mindestumsatz!E98</f>
        <v>0</v>
      </c>
      <c r="O11" s="301">
        <f>IF(N11=0,0,N11/N10)</f>
        <v>0</v>
      </c>
      <c r="P11" s="699"/>
      <c r="Q11" s="699"/>
      <c r="R11" s="699"/>
    </row>
    <row r="12" spans="1:19" ht="15.75" x14ac:dyDescent="0.2">
      <c r="A12" s="119"/>
      <c r="B12" s="211"/>
      <c r="C12" s="951" t="s">
        <v>202</v>
      </c>
      <c r="D12" s="952"/>
      <c r="E12" s="148"/>
      <c r="F12" s="951" t="s">
        <v>203</v>
      </c>
      <c r="G12" s="952"/>
      <c r="H12" s="312"/>
      <c r="I12" s="951" t="s">
        <v>204</v>
      </c>
      <c r="J12" s="952"/>
      <c r="K12" s="699"/>
      <c r="L12" s="119"/>
      <c r="M12" s="299"/>
      <c r="N12" s="300"/>
      <c r="O12" s="301"/>
      <c r="P12" s="699"/>
      <c r="Q12" s="699"/>
      <c r="R12" s="699"/>
    </row>
    <row r="13" spans="1:19" ht="15" x14ac:dyDescent="0.2">
      <c r="A13" s="211"/>
      <c r="B13" s="211"/>
      <c r="C13" s="172"/>
      <c r="D13" s="313"/>
      <c r="E13" s="148"/>
      <c r="F13" s="172"/>
      <c r="G13" s="313"/>
      <c r="H13" s="162"/>
      <c r="I13" s="172"/>
      <c r="J13" s="313"/>
      <c r="K13" s="699"/>
      <c r="L13" s="119" t="s">
        <v>347</v>
      </c>
      <c r="M13" s="299"/>
      <c r="N13" s="300">
        <f>N7+N10</f>
        <v>189000</v>
      </c>
      <c r="O13" s="301">
        <v>1</v>
      </c>
      <c r="P13" s="699"/>
      <c r="Q13" s="699"/>
      <c r="R13" s="699"/>
    </row>
    <row r="14" spans="1:19" ht="15" x14ac:dyDescent="0.2">
      <c r="A14" s="119" t="s">
        <v>205</v>
      </c>
      <c r="B14" s="299"/>
      <c r="C14" s="766">
        <v>200000</v>
      </c>
      <c r="D14" s="316">
        <v>1</v>
      </c>
      <c r="E14" s="148"/>
      <c r="F14" s="766">
        <v>220000</v>
      </c>
      <c r="G14" s="316">
        <v>1</v>
      </c>
      <c r="H14" s="317"/>
      <c r="I14" s="766">
        <v>230000</v>
      </c>
      <c r="J14" s="316">
        <v>1</v>
      </c>
      <c r="K14" s="699"/>
      <c r="L14" s="308" t="s">
        <v>346</v>
      </c>
      <c r="M14" s="309"/>
      <c r="N14" s="310">
        <f>N8+N11</f>
        <v>66000</v>
      </c>
      <c r="O14" s="318">
        <f>IF(N14=0,0,N14/$N$13)</f>
        <v>0.34920634920634919</v>
      </c>
      <c r="P14" s="699"/>
      <c r="Q14" s="699"/>
      <c r="R14" s="699"/>
    </row>
    <row r="15" spans="1:19" ht="15" x14ac:dyDescent="0.2">
      <c r="A15" s="119" t="s">
        <v>206</v>
      </c>
      <c r="B15" s="299"/>
      <c r="C15" s="287">
        <f>C14*D15</f>
        <v>70000</v>
      </c>
      <c r="D15" s="316">
        <f>Mindestumsatz!D77</f>
        <v>0.35</v>
      </c>
      <c r="E15" s="148"/>
      <c r="F15" s="287">
        <f>F14*G15</f>
        <v>77000</v>
      </c>
      <c r="G15" s="316">
        <f>D15</f>
        <v>0.35</v>
      </c>
      <c r="H15" s="317"/>
      <c r="I15" s="287">
        <f>I14*J15</f>
        <v>80500</v>
      </c>
      <c r="J15" s="316">
        <f>G15</f>
        <v>0.35</v>
      </c>
      <c r="K15" s="699"/>
      <c r="L15" s="253"/>
      <c r="M15" s="319"/>
      <c r="N15" s="300"/>
      <c r="O15" s="301"/>
      <c r="P15" s="699"/>
      <c r="Q15" s="699"/>
      <c r="R15" s="699"/>
    </row>
    <row r="16" spans="1:19" ht="15" x14ac:dyDescent="0.2">
      <c r="A16" s="119"/>
      <c r="B16" s="299"/>
      <c r="C16" s="287"/>
      <c r="D16" s="316"/>
      <c r="E16" s="148"/>
      <c r="F16" s="287"/>
      <c r="G16" s="316"/>
      <c r="H16" s="317"/>
      <c r="I16" s="287"/>
      <c r="J16" s="316"/>
      <c r="K16" s="699"/>
      <c r="L16" s="119" t="s">
        <v>209</v>
      </c>
      <c r="M16" s="299"/>
      <c r="N16" s="300">
        <f>N13-N14</f>
        <v>123000</v>
      </c>
      <c r="O16" s="301">
        <f>IF(N16=0,0,N16/$N$13)</f>
        <v>0.65079365079365081</v>
      </c>
      <c r="P16" s="699"/>
      <c r="Q16" s="699"/>
      <c r="R16" s="699"/>
    </row>
    <row r="17" spans="1:19" ht="15" x14ac:dyDescent="0.2">
      <c r="A17" s="119" t="s">
        <v>207</v>
      </c>
      <c r="B17" s="299"/>
      <c r="C17" s="766">
        <v>0</v>
      </c>
      <c r="D17" s="316">
        <v>1</v>
      </c>
      <c r="E17" s="148"/>
      <c r="F17" s="766">
        <v>0</v>
      </c>
      <c r="G17" s="316">
        <v>1</v>
      </c>
      <c r="H17" s="317"/>
      <c r="I17" s="766">
        <v>0</v>
      </c>
      <c r="J17" s="316">
        <v>1</v>
      </c>
      <c r="K17" s="699"/>
      <c r="L17" s="308" t="s">
        <v>210</v>
      </c>
      <c r="M17" s="309"/>
      <c r="N17" s="310">
        <f>Mindestumsatz!E55</f>
        <v>42500</v>
      </c>
      <c r="O17" s="318">
        <f>IF(N17=0,0,N17/$N$13)</f>
        <v>0.22486772486772486</v>
      </c>
      <c r="P17" s="699"/>
      <c r="Q17" s="699"/>
      <c r="R17" s="699"/>
    </row>
    <row r="18" spans="1:19" ht="15" x14ac:dyDescent="0.2">
      <c r="A18" s="119" t="s">
        <v>208</v>
      </c>
      <c r="B18" s="299"/>
      <c r="C18" s="287">
        <f>ROUND(C17*D18,-3)</f>
        <v>0</v>
      </c>
      <c r="D18" s="316">
        <f>O11</f>
        <v>0</v>
      </c>
      <c r="E18" s="148"/>
      <c r="F18" s="287">
        <f>ROUND(F17*G18,-3)</f>
        <v>0</v>
      </c>
      <c r="G18" s="316">
        <f>D18</f>
        <v>0</v>
      </c>
      <c r="H18" s="317"/>
      <c r="I18" s="287">
        <f>ROUND(I17*J18,-3)</f>
        <v>0</v>
      </c>
      <c r="J18" s="316">
        <f>G18</f>
        <v>0</v>
      </c>
      <c r="K18" s="699"/>
      <c r="L18" s="253"/>
      <c r="M18" s="319"/>
      <c r="N18" s="300"/>
      <c r="O18" s="301"/>
      <c r="P18" s="699"/>
      <c r="Q18" s="699"/>
      <c r="R18" s="699"/>
    </row>
    <row r="19" spans="1:19" ht="15" x14ac:dyDescent="0.2">
      <c r="A19" s="119"/>
      <c r="B19" s="299"/>
      <c r="C19" s="287"/>
      <c r="D19" s="316"/>
      <c r="E19" s="148"/>
      <c r="F19" s="287"/>
      <c r="G19" s="316"/>
      <c r="H19" s="317"/>
      <c r="I19" s="287"/>
      <c r="J19" s="316"/>
      <c r="K19" s="699"/>
      <c r="L19" s="119" t="s">
        <v>211</v>
      </c>
      <c r="M19" s="299"/>
      <c r="N19" s="300">
        <f>N16-N17</f>
        <v>80500</v>
      </c>
      <c r="O19" s="301">
        <f>IF(N19=0,0,N19/$N$13)</f>
        <v>0.42592592592592593</v>
      </c>
      <c r="P19" s="699"/>
      <c r="Q19" s="699"/>
      <c r="R19" s="699"/>
    </row>
    <row r="20" spans="1:19" ht="15" x14ac:dyDescent="0.2">
      <c r="A20" s="119" t="s">
        <v>347</v>
      </c>
      <c r="B20" s="299"/>
      <c r="C20" s="287">
        <f>C14+C17</f>
        <v>200000</v>
      </c>
      <c r="D20" s="316">
        <v>1</v>
      </c>
      <c r="E20" s="148"/>
      <c r="F20" s="287">
        <f>F14+F17</f>
        <v>220000</v>
      </c>
      <c r="G20" s="316">
        <v>1</v>
      </c>
      <c r="H20" s="317"/>
      <c r="I20" s="287">
        <f>I14+I17</f>
        <v>230000</v>
      </c>
      <c r="J20" s="316">
        <v>1</v>
      </c>
      <c r="K20" s="699"/>
      <c r="L20" s="308" t="s">
        <v>212</v>
      </c>
      <c r="M20" s="309"/>
      <c r="N20" s="310">
        <f>Mindestumsatz!E39</f>
        <v>33503</v>
      </c>
      <c r="O20" s="318">
        <f>IF(N20=0,0,N20/$N$13)</f>
        <v>0.17726455026455026</v>
      </c>
      <c r="P20" s="699"/>
      <c r="Q20" s="699"/>
      <c r="R20" s="699"/>
    </row>
    <row r="21" spans="1:19" ht="15" x14ac:dyDescent="0.2">
      <c r="A21" s="308" t="s">
        <v>346</v>
      </c>
      <c r="B21" s="309"/>
      <c r="C21" s="288">
        <f>C15+C18</f>
        <v>70000</v>
      </c>
      <c r="D21" s="323">
        <f>IF(C21=0,0,C21/$C$20)</f>
        <v>0.35</v>
      </c>
      <c r="E21" s="148"/>
      <c r="F21" s="288">
        <f>F15+F18</f>
        <v>77000</v>
      </c>
      <c r="G21" s="323">
        <f>IF(F21=0,0,F21/$F$20)</f>
        <v>0.35</v>
      </c>
      <c r="H21" s="317"/>
      <c r="I21" s="288">
        <f>I15+I18</f>
        <v>80500</v>
      </c>
      <c r="J21" s="323">
        <f>IF(I21=0,0,I21/$I$20)</f>
        <v>0.35</v>
      </c>
      <c r="K21" s="699"/>
      <c r="L21" s="253"/>
      <c r="M21" s="319"/>
      <c r="N21" s="300"/>
      <c r="O21" s="301"/>
      <c r="P21" s="699"/>
      <c r="Q21" s="699"/>
      <c r="R21" s="699"/>
    </row>
    <row r="22" spans="1:19" ht="15.75" x14ac:dyDescent="0.2">
      <c r="A22" s="253"/>
      <c r="B22" s="319"/>
      <c r="C22" s="287"/>
      <c r="D22" s="316"/>
      <c r="E22" s="148"/>
      <c r="F22" s="287"/>
      <c r="G22" s="316"/>
      <c r="H22" s="317"/>
      <c r="I22" s="287"/>
      <c r="J22" s="316"/>
      <c r="K22" s="699"/>
      <c r="L22" s="120" t="s">
        <v>213</v>
      </c>
      <c r="M22" s="192"/>
      <c r="N22" s="315">
        <f>N19-N20</f>
        <v>46997</v>
      </c>
      <c r="O22" s="320">
        <f>IF(N22=0,0,N22/$N$13)</f>
        <v>0.24866137566137567</v>
      </c>
      <c r="P22" s="699"/>
      <c r="Q22" s="699"/>
      <c r="R22" s="699"/>
    </row>
    <row r="23" spans="1:19" ht="15" x14ac:dyDescent="0.2">
      <c r="A23" s="119" t="s">
        <v>209</v>
      </c>
      <c r="B23" s="299"/>
      <c r="C23" s="287">
        <f>C20-C21</f>
        <v>130000</v>
      </c>
      <c r="D23" s="316">
        <f>IF(C23=0,0,C23/$C$20)</f>
        <v>0.65</v>
      </c>
      <c r="E23" s="148"/>
      <c r="F23" s="287">
        <f>F20-F21</f>
        <v>143000</v>
      </c>
      <c r="G23" s="316">
        <f>IF(F23=0,0,F23/$F$20)</f>
        <v>0.65</v>
      </c>
      <c r="H23" s="317"/>
      <c r="I23" s="287">
        <f>I20-I21</f>
        <v>149500</v>
      </c>
      <c r="J23" s="316">
        <f>IF(I23=0,0,I23/$I$20)</f>
        <v>0.65</v>
      </c>
      <c r="K23" s="699"/>
      <c r="L23" s="308" t="s">
        <v>214</v>
      </c>
      <c r="M23" s="309"/>
      <c r="N23" s="310">
        <f>ROUND(MAX('Kapitaldienst Jahr 1-11'!C29),-2)</f>
        <v>4000</v>
      </c>
      <c r="O23" s="318">
        <f>IF(N23=0,0,N23/$N$13)</f>
        <v>2.1164021164021163E-2</v>
      </c>
      <c r="P23" s="727"/>
      <c r="Q23" s="727"/>
      <c r="R23" s="727"/>
      <c r="S23" s="112"/>
    </row>
    <row r="24" spans="1:19" ht="15" x14ac:dyDescent="0.2">
      <c r="A24" s="308" t="s">
        <v>210</v>
      </c>
      <c r="B24" s="309"/>
      <c r="C24" s="767">
        <v>42500</v>
      </c>
      <c r="D24" s="323">
        <f>IF(C24=0,0,C24/$C$20)</f>
        <v>0.21249999999999999</v>
      </c>
      <c r="E24" s="148"/>
      <c r="F24" s="767">
        <v>43500</v>
      </c>
      <c r="G24" s="323">
        <f>IF(F24=0,0,F24/$F$20)</f>
        <v>0.19772727272727272</v>
      </c>
      <c r="H24" s="317"/>
      <c r="I24" s="767">
        <v>45000</v>
      </c>
      <c r="J24" s="323">
        <f>IF(I24=0,0,I24/$I$20)</f>
        <v>0.19565217391304349</v>
      </c>
      <c r="K24" s="699"/>
      <c r="L24" s="119"/>
      <c r="M24" s="299"/>
      <c r="N24" s="300"/>
      <c r="O24" s="301"/>
      <c r="P24" s="727"/>
      <c r="Q24" s="727"/>
      <c r="R24" s="727"/>
      <c r="S24" s="112"/>
    </row>
    <row r="25" spans="1:19" ht="15" x14ac:dyDescent="0.2">
      <c r="A25" s="253"/>
      <c r="B25" s="319"/>
      <c r="C25" s="287"/>
      <c r="D25" s="316"/>
      <c r="E25" s="148"/>
      <c r="F25" s="287"/>
      <c r="G25" s="316"/>
      <c r="H25" s="317"/>
      <c r="I25" s="287"/>
      <c r="J25" s="316"/>
      <c r="K25" s="699"/>
      <c r="L25" s="119" t="s">
        <v>215</v>
      </c>
      <c r="M25" s="299"/>
      <c r="N25" s="300">
        <f>N22-N23</f>
        <v>42997</v>
      </c>
      <c r="O25" s="301">
        <f>IF(N25=0,0,N25/$N$13)</f>
        <v>0.2274973544973545</v>
      </c>
      <c r="P25" s="727"/>
      <c r="Q25" s="727"/>
      <c r="R25" s="727"/>
      <c r="S25" s="112"/>
    </row>
    <row r="26" spans="1:19" ht="15" x14ac:dyDescent="0.2">
      <c r="A26" s="119" t="s">
        <v>211</v>
      </c>
      <c r="B26" s="299"/>
      <c r="C26" s="287">
        <f>C23-C24</f>
        <v>87500</v>
      </c>
      <c r="D26" s="316">
        <f>IF(C23=0,0,C26/$C$20)</f>
        <v>0.4375</v>
      </c>
      <c r="E26" s="148"/>
      <c r="F26" s="287">
        <f>F23-F24</f>
        <v>99500</v>
      </c>
      <c r="G26" s="316">
        <f>IF(F26=0,0,F26/$F$20)</f>
        <v>0.45227272727272727</v>
      </c>
      <c r="H26" s="317"/>
      <c r="I26" s="287">
        <f>I23-I24</f>
        <v>104500</v>
      </c>
      <c r="J26" s="316">
        <f>IF(I26=0,0,I26/$I$20)</f>
        <v>0.45434782608695651</v>
      </c>
      <c r="K26" s="699"/>
      <c r="L26" s="308" t="s">
        <v>216</v>
      </c>
      <c r="M26" s="309"/>
      <c r="N26" s="310">
        <f>C33</f>
        <v>7000</v>
      </c>
      <c r="O26" s="318">
        <f>IF(N26=0,0,N26/$N$13)</f>
        <v>3.7037037037037035E-2</v>
      </c>
      <c r="P26" s="727"/>
      <c r="Q26" s="727"/>
      <c r="R26" s="727"/>
      <c r="S26" s="112"/>
    </row>
    <row r="27" spans="1:19" ht="15" x14ac:dyDescent="0.2">
      <c r="A27" s="308" t="s">
        <v>212</v>
      </c>
      <c r="B27" s="309"/>
      <c r="C27" s="767">
        <v>33503</v>
      </c>
      <c r="D27" s="323">
        <f>IF(C20=0,0,C27/$C$20)</f>
        <v>0.167515</v>
      </c>
      <c r="E27" s="148"/>
      <c r="F27" s="767">
        <v>35000</v>
      </c>
      <c r="G27" s="323">
        <f>IF(F27=0,0,F27/$F$20)</f>
        <v>0.15909090909090909</v>
      </c>
      <c r="H27" s="317"/>
      <c r="I27" s="767">
        <v>36500</v>
      </c>
      <c r="J27" s="323">
        <f>IF(I27=0,0,I27/$I$20)</f>
        <v>0.15869565217391304</v>
      </c>
      <c r="K27" s="699"/>
      <c r="L27" s="119"/>
      <c r="M27" s="159"/>
      <c r="N27" s="300"/>
      <c r="O27" s="301"/>
      <c r="P27" s="727"/>
      <c r="Q27" s="727"/>
      <c r="R27" s="727"/>
      <c r="S27" s="112"/>
    </row>
    <row r="28" spans="1:19" ht="16.5" thickBot="1" x14ac:dyDescent="0.25">
      <c r="A28" s="253"/>
      <c r="B28" s="319"/>
      <c r="C28" s="287"/>
      <c r="D28" s="316"/>
      <c r="E28" s="148"/>
      <c r="F28" s="287"/>
      <c r="G28" s="316"/>
      <c r="H28" s="317"/>
      <c r="I28" s="287"/>
      <c r="J28" s="316"/>
      <c r="K28" s="699"/>
      <c r="L28" s="120" t="s">
        <v>217</v>
      </c>
      <c r="M28" s="299"/>
      <c r="N28" s="327">
        <f>N25-N26</f>
        <v>35997</v>
      </c>
      <c r="O28" s="328">
        <f>IF(N28=0,0,N28/$N$13)</f>
        <v>0.19046031746031747</v>
      </c>
      <c r="P28" s="152"/>
      <c r="Q28" s="727"/>
      <c r="R28" s="727"/>
      <c r="S28" s="112"/>
    </row>
    <row r="29" spans="1:19" ht="15.75" x14ac:dyDescent="0.2">
      <c r="A29" s="120" t="s">
        <v>213</v>
      </c>
      <c r="B29" s="192"/>
      <c r="C29" s="330">
        <f>IF(C20=0,0,C26-C27)</f>
        <v>53997</v>
      </c>
      <c r="D29" s="331">
        <f>IF(C20=0,0,C29/$C$20)</f>
        <v>0.26998499999999998</v>
      </c>
      <c r="E29" s="148"/>
      <c r="F29" s="330">
        <f>IF(F20=0,0,F26-F27)</f>
        <v>64500</v>
      </c>
      <c r="G29" s="316">
        <f>IF(F29=0,0,F29/$F$20)</f>
        <v>0.29318181818181815</v>
      </c>
      <c r="H29" s="317"/>
      <c r="I29" s="330">
        <f>IF(I20=0,0,I26-I27)</f>
        <v>68000</v>
      </c>
      <c r="J29" s="316">
        <f>IF(I29=0,0,I29/$I$20)</f>
        <v>0.29565217391304349</v>
      </c>
      <c r="K29" s="148"/>
      <c r="L29" s="727"/>
      <c r="M29" s="727"/>
      <c r="N29" s="727"/>
      <c r="O29" s="727"/>
      <c r="P29" s="727"/>
      <c r="Q29" s="727"/>
      <c r="R29" s="727"/>
      <c r="S29" s="112"/>
    </row>
    <row r="30" spans="1:19" ht="15" x14ac:dyDescent="0.2">
      <c r="A30" s="308" t="s">
        <v>214</v>
      </c>
      <c r="B30" s="309"/>
      <c r="C30" s="288">
        <f>ROUND('Kapitaldienst Jahr 1-11'!C29,-2)</f>
        <v>4000</v>
      </c>
      <c r="D30" s="323">
        <f>IF(C23=0,0,C30/$C$20)</f>
        <v>0.02</v>
      </c>
      <c r="E30" s="148"/>
      <c r="F30" s="288">
        <f>ROUND('Kapitaldienst Jahr 1-11'!D29,-2)</f>
        <v>3900</v>
      </c>
      <c r="G30" s="323">
        <f>IF(F30=0,0,F30/$F$20)</f>
        <v>1.7727272727272727E-2</v>
      </c>
      <c r="H30" s="317"/>
      <c r="I30" s="288">
        <f>ROUND('Kapitaldienst Jahr 1-11'!E29,-2)</f>
        <v>3700</v>
      </c>
      <c r="J30" s="323">
        <f>IF(I30=0,0,I30/$I$20)</f>
        <v>1.6086956521739131E-2</v>
      </c>
      <c r="K30" s="148"/>
      <c r="L30" s="727"/>
      <c r="M30" s="727"/>
      <c r="N30" s="727"/>
      <c r="O30" s="727"/>
      <c r="P30" s="727"/>
      <c r="Q30" s="727"/>
      <c r="R30" s="727"/>
      <c r="S30" s="112"/>
    </row>
    <row r="31" spans="1:19" ht="15" x14ac:dyDescent="0.2">
      <c r="A31" s="119"/>
      <c r="B31" s="299"/>
      <c r="C31" s="287"/>
      <c r="D31" s="316"/>
      <c r="E31" s="148"/>
      <c r="F31" s="287"/>
      <c r="G31" s="316"/>
      <c r="H31" s="317"/>
      <c r="I31" s="287"/>
      <c r="J31" s="316"/>
      <c r="K31" s="148"/>
      <c r="L31" s="727"/>
      <c r="M31" s="727"/>
      <c r="N31" s="727"/>
      <c r="O31" s="727"/>
      <c r="P31" s="727"/>
      <c r="Q31" s="727"/>
      <c r="R31" s="727"/>
      <c r="S31" s="112"/>
    </row>
    <row r="32" spans="1:19" ht="15" x14ac:dyDescent="0.2">
      <c r="A32" s="119" t="s">
        <v>215</v>
      </c>
      <c r="B32" s="299"/>
      <c r="C32" s="287">
        <f>IF(C20=0,0,C29-C30)</f>
        <v>49997</v>
      </c>
      <c r="D32" s="316">
        <f>IF(C23=0,0,C32/$C$20)</f>
        <v>0.24998500000000001</v>
      </c>
      <c r="E32" s="148"/>
      <c r="F32" s="287">
        <f>IF(F20=0,0,F29-F30)</f>
        <v>60600</v>
      </c>
      <c r="G32" s="316">
        <f>IF(F32=0,0,F32/$F$20)</f>
        <v>0.27545454545454545</v>
      </c>
      <c r="H32" s="317"/>
      <c r="I32" s="287">
        <f>IF(I20=0,0,I29-I30)</f>
        <v>64300</v>
      </c>
      <c r="J32" s="316">
        <f>IF(I32=0,0,I32/$I$20)</f>
        <v>0.27956521739130435</v>
      </c>
      <c r="K32" s="680"/>
      <c r="L32" s="765"/>
      <c r="M32" s="765"/>
      <c r="N32" s="765"/>
      <c r="O32" s="765"/>
      <c r="P32" s="765"/>
      <c r="Q32" s="765"/>
      <c r="R32" s="765"/>
      <c r="S32" s="681"/>
    </row>
    <row r="33" spans="1:19" ht="15" x14ac:dyDescent="0.2">
      <c r="A33" s="308" t="s">
        <v>216</v>
      </c>
      <c r="B33" s="309"/>
      <c r="C33" s="767">
        <v>7000</v>
      </c>
      <c r="D33" s="323">
        <f>IF(C26=0,0,C33/$C$20)</f>
        <v>3.5000000000000003E-2</v>
      </c>
      <c r="E33" s="148"/>
      <c r="F33" s="767">
        <v>7000</v>
      </c>
      <c r="G33" s="323">
        <f>IF(F33=0,0,F33/$F$20)</f>
        <v>3.1818181818181815E-2</v>
      </c>
      <c r="H33" s="317"/>
      <c r="I33" s="767">
        <v>7000</v>
      </c>
      <c r="J33" s="323">
        <f>IF(I33=0,0,I33/$I$20)</f>
        <v>3.0434782608695653E-2</v>
      </c>
      <c r="K33" s="148"/>
      <c r="L33" s="727"/>
      <c r="M33" s="727"/>
      <c r="N33" s="727"/>
      <c r="O33" s="727"/>
      <c r="P33" s="727"/>
      <c r="Q33" s="727"/>
      <c r="R33" s="727"/>
      <c r="S33" s="112"/>
    </row>
    <row r="34" spans="1:19" ht="15" x14ac:dyDescent="0.2">
      <c r="A34" s="119"/>
      <c r="B34" s="159"/>
      <c r="C34" s="287"/>
      <c r="D34" s="316"/>
      <c r="E34" s="148"/>
      <c r="F34" s="287"/>
      <c r="G34" s="316"/>
      <c r="H34" s="317"/>
      <c r="I34" s="287"/>
      <c r="J34" s="316"/>
      <c r="K34" s="148"/>
      <c r="L34" s="727"/>
      <c r="M34" s="727"/>
      <c r="N34" s="727"/>
      <c r="O34" s="727"/>
      <c r="P34" s="727"/>
      <c r="Q34" s="727"/>
      <c r="R34" s="727"/>
      <c r="S34" s="112"/>
    </row>
    <row r="35" spans="1:19" ht="16.5" thickBot="1" x14ac:dyDescent="0.25">
      <c r="A35" s="120" t="s">
        <v>217</v>
      </c>
      <c r="B35" s="299"/>
      <c r="C35" s="332">
        <f>IF(C20=0,0,C32-C33)</f>
        <v>42997</v>
      </c>
      <c r="D35" s="333">
        <f>IF(C29=0,0,C35/$C$20)</f>
        <v>0.21498500000000001</v>
      </c>
      <c r="E35" s="148"/>
      <c r="F35" s="332">
        <f>IF(F20=0,0,F32-F33)</f>
        <v>53600</v>
      </c>
      <c r="G35" s="323">
        <f>IF(F35=0,0,F35/$F$20)</f>
        <v>0.24363636363636362</v>
      </c>
      <c r="H35" s="317"/>
      <c r="I35" s="332">
        <f>IF(I20=0,0,I32-I33)</f>
        <v>57300</v>
      </c>
      <c r="J35" s="323">
        <f>IF(I35=0,0,I35/$I$20)</f>
        <v>0.24913043478260868</v>
      </c>
      <c r="K35" s="148"/>
      <c r="L35" s="727"/>
      <c r="M35" s="727"/>
      <c r="N35" s="727"/>
      <c r="O35" s="727"/>
      <c r="P35" s="727"/>
      <c r="Q35" s="727"/>
      <c r="R35" s="727"/>
      <c r="S35" s="112"/>
    </row>
    <row r="36" spans="1:19" ht="15.75" customHeight="1" x14ac:dyDescent="0.2">
      <c r="A36" s="211"/>
      <c r="B36" s="211"/>
      <c r="C36" s="159"/>
      <c r="D36" s="159"/>
      <c r="E36" s="162"/>
      <c r="F36" s="159"/>
      <c r="G36" s="159"/>
      <c r="H36" s="159"/>
      <c r="I36" s="159"/>
      <c r="J36" s="159"/>
      <c r="K36" s="699"/>
      <c r="L36" s="727"/>
      <c r="M36" s="727"/>
      <c r="N36" s="958" t="s">
        <v>218</v>
      </c>
      <c r="O36" s="959"/>
      <c r="P36" s="727"/>
      <c r="Q36" s="727"/>
      <c r="R36" s="727"/>
      <c r="S36" s="112"/>
    </row>
    <row r="37" spans="1:19" ht="15" customHeight="1" x14ac:dyDescent="0.2">
      <c r="A37" s="211"/>
      <c r="B37" s="211"/>
      <c r="C37" s="159"/>
      <c r="D37" s="159"/>
      <c r="E37" s="162"/>
      <c r="F37" s="159"/>
      <c r="G37" s="159"/>
      <c r="H37" s="159"/>
      <c r="I37" s="159"/>
      <c r="J37" s="159"/>
      <c r="K37" s="699"/>
      <c r="L37" s="727"/>
      <c r="M37" s="727"/>
      <c r="N37" s="960" t="s">
        <v>201</v>
      </c>
      <c r="O37" s="961"/>
      <c r="P37" s="727"/>
      <c r="Q37" s="727"/>
      <c r="R37" s="727"/>
      <c r="S37" s="112"/>
    </row>
    <row r="38" spans="1:19" ht="15" x14ac:dyDescent="0.2">
      <c r="A38" s="211"/>
      <c r="B38" s="211"/>
      <c r="C38" s="211"/>
      <c r="D38" s="211"/>
      <c r="E38" s="114"/>
      <c r="F38" s="211"/>
      <c r="G38" s="211"/>
      <c r="H38" s="211"/>
      <c r="I38" s="211"/>
      <c r="J38" s="211"/>
      <c r="K38" s="699"/>
      <c r="L38" s="727"/>
      <c r="M38" s="727"/>
      <c r="N38" s="297"/>
      <c r="O38" s="298"/>
      <c r="P38" s="727"/>
      <c r="Q38" s="727"/>
      <c r="R38" s="727"/>
      <c r="S38" s="112"/>
    </row>
    <row r="39" spans="1:19" ht="15.75" x14ac:dyDescent="0.2">
      <c r="A39" s="948" t="s">
        <v>218</v>
      </c>
      <c r="B39" s="948"/>
      <c r="C39" s="948"/>
      <c r="D39" s="948"/>
      <c r="E39" s="948"/>
      <c r="F39" s="948"/>
      <c r="G39" s="948"/>
      <c r="H39" s="948"/>
      <c r="I39" s="948"/>
      <c r="J39" s="948"/>
      <c r="K39" s="699"/>
      <c r="L39" s="727"/>
      <c r="M39" s="727"/>
      <c r="N39" s="302"/>
      <c r="O39" s="298"/>
      <c r="P39" s="727"/>
      <c r="Q39" s="727"/>
      <c r="R39" s="727"/>
      <c r="S39" s="112"/>
    </row>
    <row r="40" spans="1:19" ht="15.75" x14ac:dyDescent="0.2">
      <c r="A40" s="211"/>
      <c r="B40" s="211"/>
      <c r="C40" s="211"/>
      <c r="D40" s="211"/>
      <c r="E40" s="114"/>
      <c r="F40" s="211"/>
      <c r="G40" s="211"/>
      <c r="H40" s="211"/>
      <c r="I40" s="211"/>
      <c r="J40" s="211"/>
      <c r="K40" s="699"/>
      <c r="L40" s="303" t="str">
        <f>A29</f>
        <v>Erweiterter Cash-Flow</v>
      </c>
      <c r="M40" s="192"/>
      <c r="N40" s="304">
        <f>N22</f>
        <v>46997</v>
      </c>
      <c r="O40" s="305">
        <f>IF(N40=0,0,N40/$N$13)</f>
        <v>0.24866137566137567</v>
      </c>
      <c r="P40" s="727"/>
      <c r="Q40" s="727"/>
      <c r="R40" s="727"/>
      <c r="S40" s="112"/>
    </row>
    <row r="41" spans="1:19" ht="15" x14ac:dyDescent="0.2">
      <c r="A41" s="211"/>
      <c r="B41" s="211"/>
      <c r="C41" s="211"/>
      <c r="D41" s="211"/>
      <c r="E41" s="114"/>
      <c r="F41" s="211"/>
      <c r="G41" s="211"/>
      <c r="H41" s="211"/>
      <c r="I41" s="211"/>
      <c r="J41" s="211"/>
      <c r="K41" s="699"/>
      <c r="L41" s="211"/>
      <c r="M41" s="299"/>
      <c r="N41" s="300"/>
      <c r="O41" s="306"/>
      <c r="P41" s="727"/>
      <c r="Q41" s="727"/>
      <c r="R41" s="727"/>
      <c r="S41" s="112"/>
    </row>
    <row r="42" spans="1:19" ht="15" x14ac:dyDescent="0.2">
      <c r="A42" s="211"/>
      <c r="B42" s="299"/>
      <c r="C42" s="299"/>
      <c r="D42" s="299"/>
      <c r="E42" s="319"/>
      <c r="F42" s="299"/>
      <c r="G42" s="211"/>
      <c r="H42" s="211"/>
      <c r="I42" s="211"/>
      <c r="J42" s="211"/>
      <c r="K42" s="699"/>
      <c r="L42" s="307" t="s">
        <v>220</v>
      </c>
      <c r="M42" s="299"/>
      <c r="N42" s="300">
        <v>0</v>
      </c>
      <c r="O42" s="306"/>
      <c r="P42" s="727"/>
      <c r="Q42" s="727"/>
      <c r="R42" s="727"/>
      <c r="S42" s="112"/>
    </row>
    <row r="43" spans="1:19" ht="15.75" x14ac:dyDescent="0.2">
      <c r="A43" s="211"/>
      <c r="B43" s="299"/>
      <c r="C43" s="949" t="s">
        <v>219</v>
      </c>
      <c r="D43" s="950"/>
      <c r="E43" s="148"/>
      <c r="F43" s="949" t="s">
        <v>219</v>
      </c>
      <c r="G43" s="950"/>
      <c r="H43" s="312"/>
      <c r="I43" s="949" t="s">
        <v>219</v>
      </c>
      <c r="J43" s="950"/>
      <c r="K43" s="699"/>
      <c r="L43" s="308" t="s">
        <v>348</v>
      </c>
      <c r="M43" s="309"/>
      <c r="N43" s="310"/>
      <c r="O43" s="311"/>
      <c r="P43" s="727"/>
      <c r="Q43" s="727"/>
      <c r="R43" s="727"/>
      <c r="S43" s="112"/>
    </row>
    <row r="44" spans="1:19" ht="15.75" x14ac:dyDescent="0.2">
      <c r="A44" s="119"/>
      <c r="B44" s="211"/>
      <c r="C44" s="946" t="str">
        <f>C12</f>
        <v>1. Jahr</v>
      </c>
      <c r="D44" s="947"/>
      <c r="E44" s="148"/>
      <c r="F44" s="946" t="str">
        <f>F12</f>
        <v>2. Jahr</v>
      </c>
      <c r="G44" s="947"/>
      <c r="H44" s="312"/>
      <c r="I44" s="946" t="str">
        <f>I12</f>
        <v>3. Jahr</v>
      </c>
      <c r="J44" s="947"/>
      <c r="K44" s="699"/>
      <c r="L44" s="119"/>
      <c r="M44" s="299"/>
      <c r="N44" s="300"/>
      <c r="O44" s="306"/>
      <c r="P44" s="727"/>
      <c r="Q44" s="727"/>
      <c r="R44" s="727"/>
      <c r="S44" s="112"/>
    </row>
    <row r="45" spans="1:19" ht="15.75" x14ac:dyDescent="0.2">
      <c r="A45" s="119"/>
      <c r="B45" s="211"/>
      <c r="C45" s="334"/>
      <c r="D45" s="335"/>
      <c r="E45" s="217"/>
      <c r="F45" s="334"/>
      <c r="G45" s="335"/>
      <c r="H45" s="336"/>
      <c r="I45" s="334"/>
      <c r="J45" s="335"/>
      <c r="K45" s="699"/>
      <c r="L45" s="314" t="s">
        <v>221</v>
      </c>
      <c r="M45" s="299"/>
      <c r="N45" s="315">
        <f>SUM(N40:N42)</f>
        <v>46997</v>
      </c>
      <c r="O45" s="306"/>
      <c r="P45" s="727"/>
      <c r="Q45" s="727"/>
      <c r="R45" s="727"/>
      <c r="S45" s="112"/>
    </row>
    <row r="46" spans="1:19" ht="15" x14ac:dyDescent="0.2">
      <c r="A46" s="211"/>
      <c r="B46" s="211"/>
      <c r="C46" s="116"/>
      <c r="D46" s="335"/>
      <c r="E46" s="217"/>
      <c r="F46" s="116"/>
      <c r="G46" s="335"/>
      <c r="H46" s="336"/>
      <c r="I46" s="116"/>
      <c r="J46" s="335"/>
      <c r="K46" s="699"/>
      <c r="L46" s="211"/>
      <c r="M46" s="299"/>
      <c r="N46" s="300"/>
      <c r="O46" s="306"/>
      <c r="P46" s="727"/>
      <c r="Q46" s="727"/>
      <c r="R46" s="727"/>
      <c r="S46" s="112"/>
    </row>
    <row r="47" spans="1:19" ht="15.75" x14ac:dyDescent="0.2">
      <c r="A47" s="303" t="str">
        <f>A29</f>
        <v>Erweiterter Cash-Flow</v>
      </c>
      <c r="B47" s="192"/>
      <c r="C47" s="337">
        <f>C29</f>
        <v>53997</v>
      </c>
      <c r="D47" s="338">
        <f>IF(C47=0,0,C47/$C$20)</f>
        <v>0.26998499999999998</v>
      </c>
      <c r="E47" s="217"/>
      <c r="F47" s="337">
        <f>F29</f>
        <v>64500</v>
      </c>
      <c r="G47" s="338">
        <f>IF(F47=0,0,F47/$F$20)</f>
        <v>0.29318181818181815</v>
      </c>
      <c r="H47" s="339"/>
      <c r="I47" s="337">
        <f>I29</f>
        <v>68000</v>
      </c>
      <c r="J47" s="338">
        <f>IF(I47=0,0,I47/$I$20)</f>
        <v>0.29565217391304349</v>
      </c>
      <c r="K47" s="699"/>
      <c r="L47" s="119" t="s">
        <v>222</v>
      </c>
      <c r="M47" s="299"/>
      <c r="N47" s="300">
        <f>ROUNDDOWN(Mindestumsatz!D15,-2)</f>
        <v>40800</v>
      </c>
      <c r="O47" s="306"/>
      <c r="P47" s="727"/>
      <c r="Q47" s="727"/>
      <c r="R47" s="727"/>
      <c r="S47" s="112"/>
    </row>
    <row r="48" spans="1:19" ht="15" x14ac:dyDescent="0.2">
      <c r="A48" s="211"/>
      <c r="B48" s="299"/>
      <c r="C48" s="287"/>
      <c r="D48" s="340"/>
      <c r="E48" s="148"/>
      <c r="F48" s="287"/>
      <c r="G48" s="340"/>
      <c r="H48" s="152"/>
      <c r="I48" s="287"/>
      <c r="J48" s="340"/>
      <c r="K48" s="699"/>
      <c r="L48" s="308" t="s">
        <v>223</v>
      </c>
      <c r="M48" s="309"/>
      <c r="N48" s="310">
        <f>Mindestumsatz!D22</f>
        <v>0</v>
      </c>
      <c r="O48" s="311"/>
      <c r="P48" s="727"/>
      <c r="Q48" s="727"/>
      <c r="R48" s="727"/>
      <c r="S48" s="112"/>
    </row>
    <row r="49" spans="1:19" ht="15" x14ac:dyDescent="0.2">
      <c r="A49" s="307" t="s">
        <v>220</v>
      </c>
      <c r="B49" s="299"/>
      <c r="C49" s="766">
        <v>0</v>
      </c>
      <c r="D49" s="340"/>
      <c r="E49" s="148"/>
      <c r="F49" s="766">
        <v>0</v>
      </c>
      <c r="G49" s="340"/>
      <c r="H49" s="152"/>
      <c r="I49" s="766">
        <v>0</v>
      </c>
      <c r="J49" s="340"/>
      <c r="K49" s="699"/>
      <c r="L49" s="119"/>
      <c r="M49" s="299"/>
      <c r="N49" s="300"/>
      <c r="O49" s="306"/>
      <c r="P49" s="727"/>
      <c r="Q49" s="727"/>
      <c r="R49" s="727"/>
      <c r="S49" s="112"/>
    </row>
    <row r="50" spans="1:19" ht="15.75" x14ac:dyDescent="0.2">
      <c r="A50" s="308" t="s">
        <v>348</v>
      </c>
      <c r="B50" s="309"/>
      <c r="C50" s="288"/>
      <c r="D50" s="341"/>
      <c r="E50" s="148"/>
      <c r="F50" s="288"/>
      <c r="G50" s="341"/>
      <c r="H50" s="152"/>
      <c r="I50" s="288"/>
      <c r="J50" s="341"/>
      <c r="K50" s="699"/>
      <c r="L50" s="314" t="s">
        <v>224</v>
      </c>
      <c r="M50" s="299"/>
      <c r="N50" s="315">
        <f>N45-SUM(N47:N48)</f>
        <v>6197</v>
      </c>
      <c r="O50" s="320">
        <f>IF(N50=0,0,N50/$N$13)</f>
        <v>3.278835978835979E-2</v>
      </c>
      <c r="P50" s="727"/>
      <c r="Q50" s="727"/>
      <c r="R50" s="727"/>
      <c r="S50" s="112"/>
    </row>
    <row r="51" spans="1:19" ht="15" x14ac:dyDescent="0.2">
      <c r="A51" s="119"/>
      <c r="B51" s="299"/>
      <c r="C51" s="287"/>
      <c r="D51" s="340"/>
      <c r="E51" s="148"/>
      <c r="F51" s="287"/>
      <c r="G51" s="340"/>
      <c r="H51" s="152"/>
      <c r="I51" s="287"/>
      <c r="J51" s="340"/>
      <c r="K51" s="699"/>
      <c r="L51" s="211"/>
      <c r="M51" s="299"/>
      <c r="N51" s="300"/>
      <c r="O51" s="306"/>
      <c r="P51" s="727"/>
      <c r="Q51" s="727"/>
      <c r="R51" s="727"/>
      <c r="S51" s="112"/>
    </row>
    <row r="52" spans="1:19" ht="16.5" thickBot="1" x14ac:dyDescent="0.25">
      <c r="A52" s="314" t="s">
        <v>221</v>
      </c>
      <c r="B52" s="299"/>
      <c r="C52" s="330">
        <f>SUM(C47:C49)</f>
        <v>53997</v>
      </c>
      <c r="D52" s="340"/>
      <c r="E52" s="148"/>
      <c r="F52" s="330">
        <f>SUM(F47:F49)</f>
        <v>64500</v>
      </c>
      <c r="G52" s="340"/>
      <c r="H52" s="152"/>
      <c r="I52" s="330">
        <f>SUM(I47:I49)</f>
        <v>68000</v>
      </c>
      <c r="J52" s="340"/>
      <c r="K52" s="699"/>
      <c r="L52" s="308" t="s">
        <v>225</v>
      </c>
      <c r="M52" s="309"/>
      <c r="N52" s="321">
        <f>'Kapitaldienst Jahr 1-11'!C34</f>
        <v>5600</v>
      </c>
      <c r="O52" s="322"/>
      <c r="P52" s="727"/>
      <c r="Q52" s="727"/>
      <c r="R52" s="727"/>
      <c r="S52" s="112"/>
    </row>
    <row r="53" spans="1:19" ht="15" x14ac:dyDescent="0.2">
      <c r="A53" s="211"/>
      <c r="B53" s="299"/>
      <c r="C53" s="287"/>
      <c r="D53" s="340"/>
      <c r="E53" s="148"/>
      <c r="F53" s="287"/>
      <c r="G53" s="340"/>
      <c r="H53" s="152"/>
      <c r="I53" s="287"/>
      <c r="J53" s="340"/>
      <c r="K53" s="699"/>
      <c r="L53" s="119"/>
      <c r="M53" s="299"/>
      <c r="N53" s="727"/>
      <c r="O53" s="727"/>
      <c r="P53" s="727"/>
      <c r="Q53" s="727"/>
      <c r="R53" s="727"/>
      <c r="S53" s="112"/>
    </row>
    <row r="54" spans="1:19" ht="15.75" x14ac:dyDescent="0.2">
      <c r="A54" s="119" t="s">
        <v>222</v>
      </c>
      <c r="B54" s="299"/>
      <c r="C54" s="766">
        <f>N47</f>
        <v>40800</v>
      </c>
      <c r="D54" s="340"/>
      <c r="E54" s="148"/>
      <c r="F54" s="766">
        <v>42000</v>
      </c>
      <c r="G54" s="340"/>
      <c r="H54" s="152"/>
      <c r="I54" s="766">
        <v>44000</v>
      </c>
      <c r="J54" s="340"/>
      <c r="K54" s="699"/>
      <c r="L54" s="324" t="s">
        <v>339</v>
      </c>
      <c r="M54" s="325"/>
      <c r="N54" s="655">
        <f>N50-N52</f>
        <v>597</v>
      </c>
      <c r="O54" s="326"/>
      <c r="P54" s="727"/>
      <c r="Q54" s="727"/>
      <c r="R54" s="727"/>
      <c r="S54" s="112"/>
    </row>
    <row r="55" spans="1:19" ht="15" x14ac:dyDescent="0.2">
      <c r="A55" s="308" t="s">
        <v>223</v>
      </c>
      <c r="B55" s="309"/>
      <c r="C55" s="288">
        <f>N48</f>
        <v>0</v>
      </c>
      <c r="D55" s="341"/>
      <c r="E55" s="148"/>
      <c r="F55" s="288">
        <v>0</v>
      </c>
      <c r="G55" s="341"/>
      <c r="H55" s="152"/>
      <c r="I55" s="288">
        <v>0</v>
      </c>
      <c r="J55" s="341"/>
      <c r="K55" s="148"/>
      <c r="L55" s="727"/>
      <c r="M55" s="727"/>
      <c r="N55" s="727"/>
      <c r="O55" s="727"/>
      <c r="P55" s="727"/>
      <c r="Q55" s="727"/>
      <c r="R55" s="727"/>
      <c r="S55" s="112"/>
    </row>
    <row r="56" spans="1:19" ht="15" x14ac:dyDescent="0.2">
      <c r="A56" s="119"/>
      <c r="B56" s="299"/>
      <c r="C56" s="287"/>
      <c r="D56" s="340"/>
      <c r="E56" s="148"/>
      <c r="F56" s="287"/>
      <c r="G56" s="340"/>
      <c r="H56" s="152"/>
      <c r="I56" s="287"/>
      <c r="J56" s="340"/>
      <c r="K56" s="148"/>
      <c r="L56" s="727"/>
      <c r="M56" s="727"/>
      <c r="N56" s="727"/>
      <c r="O56" s="727"/>
      <c r="P56" s="727"/>
      <c r="Q56" s="727"/>
      <c r="R56" s="727"/>
      <c r="S56" s="112"/>
    </row>
    <row r="57" spans="1:19" ht="15.75" x14ac:dyDescent="0.2">
      <c r="A57" s="314" t="s">
        <v>224</v>
      </c>
      <c r="B57" s="299"/>
      <c r="C57" s="330">
        <f>IF(C20=0,0,C52-SUM(C54:C55))</f>
        <v>13197</v>
      </c>
      <c r="D57" s="331">
        <f>IF(C57=0,0,C57/$C$20)</f>
        <v>6.5985000000000002E-2</v>
      </c>
      <c r="E57" s="148"/>
      <c r="F57" s="330">
        <f>IF(F20=0,0,F52-SUM(F54:F55))</f>
        <v>22500</v>
      </c>
      <c r="G57" s="331">
        <f>IF(F57=0,0,F57/$F$20)</f>
        <v>0.10227272727272728</v>
      </c>
      <c r="H57" s="342"/>
      <c r="I57" s="330">
        <f>IF(I20=0,0,I52-SUM(I54:I55))</f>
        <v>24000</v>
      </c>
      <c r="J57" s="331">
        <f>IF(I57=0,0,I57/$I$20)</f>
        <v>0.10434782608695652</v>
      </c>
      <c r="K57" s="148"/>
      <c r="L57" s="727"/>
      <c r="M57" s="727"/>
      <c r="N57" s="727"/>
      <c r="O57" s="727"/>
      <c r="P57" s="727"/>
      <c r="Q57" s="727"/>
      <c r="R57" s="727"/>
      <c r="S57" s="112"/>
    </row>
    <row r="58" spans="1:19" ht="15" x14ac:dyDescent="0.2">
      <c r="A58" s="211"/>
      <c r="B58" s="299"/>
      <c r="C58" s="287"/>
      <c r="D58" s="340"/>
      <c r="E58" s="148"/>
      <c r="F58" s="287"/>
      <c r="G58" s="340"/>
      <c r="H58" s="152"/>
      <c r="I58" s="287"/>
      <c r="J58" s="340"/>
      <c r="K58" s="148"/>
      <c r="L58" s="727"/>
      <c r="M58" s="727"/>
      <c r="N58" s="727"/>
      <c r="O58" s="727"/>
      <c r="P58" s="727"/>
      <c r="Q58" s="727"/>
      <c r="R58" s="727"/>
      <c r="S58" s="112"/>
    </row>
    <row r="59" spans="1:19" ht="15" x14ac:dyDescent="0.2">
      <c r="A59" s="308" t="s">
        <v>225</v>
      </c>
      <c r="B59" s="309"/>
      <c r="C59" s="288">
        <f>'Kapitaldienst Jahr 1-11'!C34+Mindestumsatz!D17</f>
        <v>5600</v>
      </c>
      <c r="D59" s="341"/>
      <c r="E59" s="148"/>
      <c r="F59" s="288">
        <f>'Kapitaldienst Jahr 1-11'!D34+Mindestumsatz!D17</f>
        <v>5600</v>
      </c>
      <c r="G59" s="341"/>
      <c r="H59" s="152"/>
      <c r="I59" s="288">
        <f>'Kapitaldienst Jahr 1-11'!E34+Mindestumsatz!D17</f>
        <v>17900</v>
      </c>
      <c r="J59" s="341"/>
      <c r="K59" s="148"/>
      <c r="L59" s="727"/>
      <c r="M59" s="727"/>
      <c r="N59" s="727"/>
      <c r="O59" s="727"/>
      <c r="P59" s="727"/>
      <c r="Q59" s="727"/>
      <c r="R59" s="727"/>
      <c r="S59" s="112"/>
    </row>
    <row r="60" spans="1:19" ht="15.75" thickBot="1" x14ac:dyDescent="0.25">
      <c r="A60" s="119"/>
      <c r="B60" s="299"/>
      <c r="C60" s="329"/>
      <c r="D60" s="152"/>
      <c r="E60" s="152"/>
      <c r="F60" s="329"/>
      <c r="G60" s="152"/>
      <c r="H60" s="152"/>
      <c r="I60" s="329"/>
      <c r="J60" s="152"/>
      <c r="K60" s="152"/>
      <c r="L60" s="727"/>
      <c r="M60" s="727"/>
      <c r="N60" s="727"/>
      <c r="O60" s="727"/>
      <c r="P60" s="727"/>
      <c r="Q60" s="727"/>
      <c r="R60" s="727"/>
      <c r="S60" s="112"/>
    </row>
    <row r="61" spans="1:19" ht="16.5" thickBot="1" x14ac:dyDescent="0.25">
      <c r="A61" s="343" t="s">
        <v>226</v>
      </c>
      <c r="B61" s="344"/>
      <c r="C61" s="345">
        <f>IF(C20=0,0,C57-C59)</f>
        <v>7597</v>
      </c>
      <c r="D61" s="346"/>
      <c r="E61" s="347"/>
      <c r="F61" s="345">
        <f>IF(F20=0,0,F57-F59)</f>
        <v>16900</v>
      </c>
      <c r="G61" s="348"/>
      <c r="H61" s="347"/>
      <c r="I61" s="345">
        <f>IF(I20=0,0,I57-I59)</f>
        <v>6100</v>
      </c>
      <c r="J61" s="346"/>
      <c r="K61" s="152"/>
      <c r="L61" s="727"/>
      <c r="M61" s="727"/>
      <c r="N61" s="727"/>
      <c r="O61" s="727"/>
      <c r="P61" s="727"/>
      <c r="Q61" s="727"/>
      <c r="R61" s="727"/>
      <c r="S61" s="112"/>
    </row>
    <row r="62" spans="1:19" ht="15" x14ac:dyDescent="0.2">
      <c r="A62" s="349"/>
      <c r="B62" s="349"/>
      <c r="C62" s="349"/>
      <c r="D62" s="349"/>
      <c r="E62" s="350"/>
      <c r="F62" s="349"/>
      <c r="G62" s="349"/>
      <c r="H62" s="349"/>
      <c r="I62" s="349"/>
      <c r="J62" s="349"/>
      <c r="K62" s="351"/>
      <c r="L62" s="351"/>
      <c r="M62" s="351"/>
      <c r="N62" s="113"/>
      <c r="O62" s="113"/>
      <c r="P62" s="113"/>
      <c r="Q62" s="113"/>
      <c r="R62" s="113"/>
      <c r="S62" s="113"/>
    </row>
  </sheetData>
  <sheetProtection password="C12A" sheet="1" objects="1" scenarios="1" selectLockedCells="1"/>
  <mergeCells count="16">
    <mergeCell ref="K1:R2"/>
    <mergeCell ref="C44:D44"/>
    <mergeCell ref="F44:G44"/>
    <mergeCell ref="I44:J44"/>
    <mergeCell ref="A39:J39"/>
    <mergeCell ref="C43:D43"/>
    <mergeCell ref="F43:G43"/>
    <mergeCell ref="I43:J43"/>
    <mergeCell ref="C12:D12"/>
    <mergeCell ref="F12:G12"/>
    <mergeCell ref="I12:J12"/>
    <mergeCell ref="A4:J9"/>
    <mergeCell ref="A1:J2"/>
    <mergeCell ref="N4:O5"/>
    <mergeCell ref="N36:O36"/>
    <mergeCell ref="N37:O37"/>
  </mergeCells>
  <pageMargins left="0.70866141732283472" right="0.70866141732283472" top="0.78740157480314965" bottom="0.78740157480314965" header="0.31496062992125984" footer="0.31496062992125984"/>
  <pageSetup paperSize="9" scale="73" orientation="portrait" r:id="rId1"/>
  <colBreaks count="1" manualBreakCount="1">
    <brk id="10" max="1048575" man="1"/>
  </colBreak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0"/>
  <dimension ref="A1:S61"/>
  <sheetViews>
    <sheetView topLeftCell="A28" zoomScaleNormal="100" zoomScaleSheetLayoutView="100" workbookViewId="0">
      <selection activeCell="A10" sqref="A10:H28"/>
    </sheetView>
  </sheetViews>
  <sheetFormatPr baseColWidth="10" defaultRowHeight="14.25" x14ac:dyDescent="0.2"/>
  <cols>
    <col min="1" max="1" width="12.625" style="699" customWidth="1"/>
    <col min="2" max="2" width="10.375" style="699" customWidth="1"/>
    <col min="3" max="3" width="12.375" style="699" customWidth="1"/>
    <col min="4" max="4" width="13.375" style="699" customWidth="1"/>
    <col min="5" max="5" width="15.125" style="699" customWidth="1"/>
    <col min="6" max="6" width="12.625" style="699" customWidth="1"/>
    <col min="7" max="7" width="17.25" style="699" customWidth="1"/>
    <col min="8" max="8" width="14.5" style="699" customWidth="1"/>
    <col min="9" max="9" width="14" style="699" customWidth="1"/>
    <col min="10" max="10" width="15.75" style="699" customWidth="1"/>
    <col min="11" max="11" width="3.125" style="699" customWidth="1"/>
    <col min="12" max="16384" width="11" style="699"/>
  </cols>
  <sheetData>
    <row r="1" spans="1:19" ht="16.5" customHeight="1" x14ac:dyDescent="0.2">
      <c r="A1" s="927" t="s">
        <v>230</v>
      </c>
      <c r="B1" s="927"/>
      <c r="C1" s="927"/>
      <c r="D1" s="927"/>
      <c r="E1" s="927"/>
      <c r="F1" s="927"/>
      <c r="G1" s="927"/>
      <c r="H1" s="927"/>
      <c r="I1" s="768"/>
      <c r="J1" s="724"/>
      <c r="K1" s="724"/>
      <c r="L1" s="724"/>
      <c r="M1" s="724"/>
      <c r="N1" s="724"/>
      <c r="O1" s="724"/>
      <c r="P1" s="724"/>
      <c r="Q1" s="724"/>
      <c r="R1" s="724"/>
      <c r="S1" s="724"/>
    </row>
    <row r="2" spans="1:19" ht="10.5" customHeight="1" x14ac:dyDescent="0.2">
      <c r="A2" s="927"/>
      <c r="B2" s="927"/>
      <c r="C2" s="927"/>
      <c r="D2" s="927"/>
      <c r="E2" s="927"/>
      <c r="F2" s="927"/>
      <c r="G2" s="927"/>
      <c r="H2" s="927"/>
      <c r="I2" s="768"/>
      <c r="J2" s="724"/>
      <c r="K2" s="724"/>
      <c r="L2" s="724"/>
      <c r="M2" s="724"/>
      <c r="N2" s="724"/>
      <c r="O2" s="724"/>
      <c r="P2" s="724"/>
      <c r="Q2" s="724"/>
      <c r="R2" s="724"/>
      <c r="S2" s="724"/>
    </row>
    <row r="3" spans="1:19" x14ac:dyDescent="0.2">
      <c r="A3" s="724"/>
      <c r="B3" s="724"/>
      <c r="C3" s="724"/>
      <c r="D3" s="724"/>
      <c r="E3" s="724"/>
      <c r="F3" s="724"/>
      <c r="G3" s="724"/>
      <c r="H3" s="724"/>
      <c r="I3" s="724"/>
      <c r="J3" s="724"/>
      <c r="K3" s="724"/>
      <c r="L3" s="724"/>
      <c r="M3" s="724"/>
      <c r="N3" s="724"/>
      <c r="O3" s="724"/>
      <c r="P3" s="724"/>
      <c r="Q3" s="724"/>
      <c r="R3" s="724"/>
      <c r="S3" s="724"/>
    </row>
    <row r="4" spans="1:19" ht="16.5" x14ac:dyDescent="0.2">
      <c r="A4" s="656" t="s">
        <v>350</v>
      </c>
      <c r="B4" s="352"/>
      <c r="C4" s="353"/>
      <c r="D4" s="354"/>
      <c r="E4" s="211"/>
      <c r="F4" s="211"/>
      <c r="G4" s="211"/>
      <c r="H4" s="724"/>
      <c r="I4" s="724"/>
      <c r="J4" s="724"/>
      <c r="K4" s="724"/>
      <c r="L4" s="724"/>
      <c r="M4" s="724"/>
      <c r="N4" s="724"/>
      <c r="O4" s="724"/>
      <c r="P4" s="724"/>
      <c r="Q4" s="724"/>
      <c r="R4" s="724"/>
      <c r="S4" s="724"/>
    </row>
    <row r="5" spans="1:19" ht="16.5" x14ac:dyDescent="0.2">
      <c r="A5" s="656" t="s">
        <v>333</v>
      </c>
      <c r="B5" s="352"/>
      <c r="C5" s="353"/>
      <c r="D5" s="354"/>
      <c r="E5" s="211"/>
      <c r="F5" s="211"/>
      <c r="G5" s="211"/>
      <c r="H5" s="724"/>
      <c r="I5" s="724"/>
      <c r="J5" s="724"/>
      <c r="K5" s="724"/>
      <c r="L5" s="724"/>
      <c r="M5" s="724"/>
      <c r="N5" s="724"/>
      <c r="O5" s="724"/>
      <c r="P5" s="724"/>
      <c r="Q5" s="724"/>
      <c r="R5" s="724"/>
      <c r="S5" s="724"/>
    </row>
    <row r="6" spans="1:19" ht="16.5" x14ac:dyDescent="0.2">
      <c r="A6" s="656" t="s">
        <v>332</v>
      </c>
      <c r="B6" s="352"/>
      <c r="C6" s="353"/>
      <c r="D6" s="354"/>
      <c r="E6" s="211"/>
      <c r="F6" s="211"/>
      <c r="G6" s="211"/>
      <c r="H6" s="724"/>
      <c r="I6" s="724"/>
      <c r="J6" s="724"/>
      <c r="K6" s="724"/>
      <c r="L6" s="724"/>
      <c r="M6" s="724"/>
      <c r="N6" s="724"/>
      <c r="O6" s="724"/>
      <c r="P6" s="724"/>
      <c r="Q6" s="724"/>
      <c r="R6" s="724"/>
      <c r="S6" s="724"/>
    </row>
    <row r="7" spans="1:19" ht="15" x14ac:dyDescent="0.2">
      <c r="A7" s="727"/>
      <c r="B7" s="775"/>
      <c r="C7" s="775"/>
      <c r="D7" s="727"/>
      <c r="E7" s="727"/>
      <c r="F7" s="727"/>
      <c r="G7" s="727"/>
      <c r="H7" s="724"/>
      <c r="I7" s="724"/>
      <c r="J7" s="724"/>
      <c r="K7" s="724"/>
      <c r="L7" s="724"/>
      <c r="M7" s="724"/>
      <c r="N7" s="724"/>
      <c r="O7" s="724"/>
      <c r="P7" s="724"/>
      <c r="Q7" s="724"/>
      <c r="R7" s="724"/>
      <c r="S7" s="724"/>
    </row>
    <row r="8" spans="1:19" ht="15.75" x14ac:dyDescent="0.2">
      <c r="A8" s="355" t="s">
        <v>255</v>
      </c>
      <c r="B8" s="769"/>
      <c r="C8" s="769"/>
      <c r="D8" s="769"/>
      <c r="E8" s="769"/>
      <c r="F8" s="769"/>
      <c r="G8" s="769"/>
      <c r="H8" s="770"/>
      <c r="I8" s="768"/>
      <c r="J8" s="724"/>
      <c r="K8" s="724"/>
      <c r="L8" s="724"/>
      <c r="M8" s="724"/>
      <c r="N8" s="724"/>
      <c r="O8" s="724"/>
      <c r="P8" s="724"/>
      <c r="Q8" s="724"/>
      <c r="R8" s="724"/>
      <c r="S8" s="724"/>
    </row>
    <row r="9" spans="1:19" ht="15" x14ac:dyDescent="0.2">
      <c r="A9" s="727"/>
      <c r="B9" s="727"/>
      <c r="C9" s="727"/>
      <c r="D9" s="727"/>
      <c r="E9" s="727"/>
      <c r="F9" s="727"/>
      <c r="G9" s="727"/>
      <c r="H9" s="724"/>
      <c r="I9" s="848"/>
      <c r="J9" s="848"/>
      <c r="K9" s="848"/>
      <c r="L9" s="848"/>
      <c r="M9" s="848"/>
      <c r="N9" s="848"/>
      <c r="O9" s="848"/>
      <c r="P9" s="848"/>
      <c r="Q9" s="848"/>
      <c r="R9" s="848"/>
      <c r="S9" s="724"/>
    </row>
    <row r="10" spans="1:19" ht="16.5" customHeight="1" x14ac:dyDescent="0.2">
      <c r="A10" s="962" t="s">
        <v>375</v>
      </c>
      <c r="B10" s="850"/>
      <c r="C10" s="850" t="s">
        <v>256</v>
      </c>
      <c r="D10" s="964" t="s">
        <v>257</v>
      </c>
      <c r="E10" s="850" t="s">
        <v>256</v>
      </c>
      <c r="F10" s="966" t="s">
        <v>258</v>
      </c>
      <c r="G10" s="850" t="s">
        <v>391</v>
      </c>
      <c r="H10" s="851" t="s">
        <v>392</v>
      </c>
      <c r="I10" s="849"/>
      <c r="J10" s="962" t="s">
        <v>375</v>
      </c>
      <c r="K10" s="850"/>
      <c r="L10" s="850" t="s">
        <v>256</v>
      </c>
      <c r="M10" s="964" t="s">
        <v>257</v>
      </c>
      <c r="N10" s="850" t="s">
        <v>256</v>
      </c>
      <c r="O10" s="966" t="s">
        <v>258</v>
      </c>
      <c r="P10" s="850" t="s">
        <v>391</v>
      </c>
      <c r="Q10" s="851" t="s">
        <v>392</v>
      </c>
      <c r="R10" s="848"/>
      <c r="S10" s="724"/>
    </row>
    <row r="11" spans="1:19" x14ac:dyDescent="0.2">
      <c r="A11" s="963"/>
      <c r="B11" s="852"/>
      <c r="C11" s="852" t="s">
        <v>260</v>
      </c>
      <c r="D11" s="965"/>
      <c r="E11" s="852" t="s">
        <v>261</v>
      </c>
      <c r="F11" s="967"/>
      <c r="G11" s="852"/>
      <c r="H11" s="853"/>
      <c r="I11" s="849"/>
      <c r="J11" s="963"/>
      <c r="K11" s="852"/>
      <c r="L11" s="852" t="s">
        <v>260</v>
      </c>
      <c r="M11" s="965"/>
      <c r="N11" s="852" t="s">
        <v>261</v>
      </c>
      <c r="O11" s="967"/>
      <c r="P11" s="852"/>
      <c r="Q11" s="853"/>
      <c r="R11" s="848"/>
      <c r="S11" s="724"/>
    </row>
    <row r="12" spans="1:19" x14ac:dyDescent="0.2">
      <c r="A12" s="854"/>
      <c r="B12" s="854"/>
      <c r="C12" s="854"/>
      <c r="D12" s="854"/>
      <c r="E12" s="854"/>
      <c r="F12" s="854"/>
      <c r="G12" s="854"/>
      <c r="H12" s="848"/>
      <c r="I12" s="849"/>
      <c r="J12" s="854"/>
      <c r="K12" s="854"/>
      <c r="L12" s="854"/>
      <c r="M12" s="854"/>
      <c r="N12" s="854"/>
      <c r="O12" s="854"/>
      <c r="P12" s="854"/>
      <c r="Q12" s="848"/>
      <c r="R12" s="848"/>
      <c r="S12" s="724"/>
    </row>
    <row r="13" spans="1:19" x14ac:dyDescent="0.2">
      <c r="A13" s="855" t="s">
        <v>376</v>
      </c>
      <c r="B13" s="856"/>
      <c r="C13" s="857">
        <v>0</v>
      </c>
      <c r="D13" s="857">
        <v>0</v>
      </c>
      <c r="E13" s="857">
        <f t="shared" ref="E13:E27" si="0">C13*D13</f>
        <v>0</v>
      </c>
      <c r="F13" s="858">
        <v>0</v>
      </c>
      <c r="G13" s="858">
        <f>E13*F13</f>
        <v>0</v>
      </c>
      <c r="H13" s="859">
        <f>G13*1.19</f>
        <v>0</v>
      </c>
      <c r="I13" s="849"/>
      <c r="J13" s="855" t="s">
        <v>376</v>
      </c>
      <c r="K13" s="856"/>
      <c r="L13" s="857">
        <v>0</v>
      </c>
      <c r="M13" s="857">
        <v>0</v>
      </c>
      <c r="N13" s="857">
        <f t="shared" ref="N13:N27" si="1">L13*M13</f>
        <v>0</v>
      </c>
      <c r="O13" s="858">
        <v>0</v>
      </c>
      <c r="P13" s="858">
        <f>N13*O13</f>
        <v>0</v>
      </c>
      <c r="Q13" s="859">
        <f>P13*1.19</f>
        <v>0</v>
      </c>
      <c r="R13" s="848"/>
      <c r="S13" s="724"/>
    </row>
    <row r="14" spans="1:19" x14ac:dyDescent="0.2">
      <c r="A14" s="855" t="s">
        <v>377</v>
      </c>
      <c r="B14" s="856"/>
      <c r="C14" s="857">
        <v>0</v>
      </c>
      <c r="D14" s="857">
        <v>0</v>
      </c>
      <c r="E14" s="857">
        <f t="shared" si="0"/>
        <v>0</v>
      </c>
      <c r="F14" s="858">
        <v>0</v>
      </c>
      <c r="G14" s="858">
        <f t="shared" ref="G14:G27" si="2">E14*F14</f>
        <v>0</v>
      </c>
      <c r="H14" s="859">
        <f t="shared" ref="H14:H27" si="3">G14*1.19</f>
        <v>0</v>
      </c>
      <c r="I14" s="849"/>
      <c r="J14" s="855" t="s">
        <v>377</v>
      </c>
      <c r="K14" s="856"/>
      <c r="L14" s="857">
        <v>0</v>
      </c>
      <c r="M14" s="857">
        <v>0</v>
      </c>
      <c r="N14" s="857">
        <f t="shared" si="1"/>
        <v>0</v>
      </c>
      <c r="O14" s="858">
        <v>0</v>
      </c>
      <c r="P14" s="858">
        <f t="shared" ref="P14:P27" si="4">N14*O14</f>
        <v>0</v>
      </c>
      <c r="Q14" s="859">
        <f t="shared" ref="Q14:Q27" si="5">P14*1.19</f>
        <v>0</v>
      </c>
      <c r="R14" s="848"/>
      <c r="S14" s="724"/>
    </row>
    <row r="15" spans="1:19" x14ac:dyDescent="0.2">
      <c r="A15" s="855" t="s">
        <v>378</v>
      </c>
      <c r="B15" s="856"/>
      <c r="C15" s="857">
        <v>0</v>
      </c>
      <c r="D15" s="857">
        <v>0</v>
      </c>
      <c r="E15" s="857">
        <f t="shared" si="0"/>
        <v>0</v>
      </c>
      <c r="F15" s="858">
        <v>0</v>
      </c>
      <c r="G15" s="858">
        <f t="shared" si="2"/>
        <v>0</v>
      </c>
      <c r="H15" s="859">
        <f t="shared" si="3"/>
        <v>0</v>
      </c>
      <c r="I15" s="849"/>
      <c r="J15" s="855" t="s">
        <v>378</v>
      </c>
      <c r="K15" s="856"/>
      <c r="L15" s="857">
        <v>0</v>
      </c>
      <c r="M15" s="857">
        <v>0</v>
      </c>
      <c r="N15" s="857">
        <f t="shared" si="1"/>
        <v>0</v>
      </c>
      <c r="O15" s="858">
        <v>0</v>
      </c>
      <c r="P15" s="858">
        <f t="shared" si="4"/>
        <v>0</v>
      </c>
      <c r="Q15" s="859">
        <f t="shared" si="5"/>
        <v>0</v>
      </c>
      <c r="R15" s="848"/>
      <c r="S15" s="724"/>
    </row>
    <row r="16" spans="1:19" x14ac:dyDescent="0.2">
      <c r="A16" s="855" t="s">
        <v>379</v>
      </c>
      <c r="B16" s="856"/>
      <c r="C16" s="857">
        <v>0</v>
      </c>
      <c r="D16" s="857">
        <v>0</v>
      </c>
      <c r="E16" s="857">
        <f t="shared" si="0"/>
        <v>0</v>
      </c>
      <c r="F16" s="858">
        <v>0</v>
      </c>
      <c r="G16" s="858">
        <f t="shared" si="2"/>
        <v>0</v>
      </c>
      <c r="H16" s="859">
        <f t="shared" si="3"/>
        <v>0</v>
      </c>
      <c r="I16" s="849"/>
      <c r="J16" s="855" t="s">
        <v>379</v>
      </c>
      <c r="K16" s="856"/>
      <c r="L16" s="857">
        <v>0</v>
      </c>
      <c r="M16" s="857">
        <v>0</v>
      </c>
      <c r="N16" s="857">
        <f t="shared" si="1"/>
        <v>0</v>
      </c>
      <c r="O16" s="858">
        <v>0</v>
      </c>
      <c r="P16" s="858">
        <f t="shared" si="4"/>
        <v>0</v>
      </c>
      <c r="Q16" s="859">
        <f t="shared" si="5"/>
        <v>0</v>
      </c>
      <c r="R16" s="848"/>
      <c r="S16" s="724"/>
    </row>
    <row r="17" spans="1:19" x14ac:dyDescent="0.2">
      <c r="A17" s="855" t="s">
        <v>380</v>
      </c>
      <c r="B17" s="860"/>
      <c r="C17" s="857">
        <v>0</v>
      </c>
      <c r="D17" s="857">
        <v>0</v>
      </c>
      <c r="E17" s="857">
        <f t="shared" si="0"/>
        <v>0</v>
      </c>
      <c r="F17" s="858">
        <v>0</v>
      </c>
      <c r="G17" s="858">
        <f t="shared" si="2"/>
        <v>0</v>
      </c>
      <c r="H17" s="859">
        <f t="shared" si="3"/>
        <v>0</v>
      </c>
      <c r="I17" s="849"/>
      <c r="J17" s="855" t="s">
        <v>380</v>
      </c>
      <c r="K17" s="860"/>
      <c r="L17" s="857">
        <v>0</v>
      </c>
      <c r="M17" s="857">
        <v>0</v>
      </c>
      <c r="N17" s="857">
        <f t="shared" si="1"/>
        <v>0</v>
      </c>
      <c r="O17" s="858">
        <v>0</v>
      </c>
      <c r="P17" s="858">
        <f t="shared" si="4"/>
        <v>0</v>
      </c>
      <c r="Q17" s="859">
        <f t="shared" si="5"/>
        <v>0</v>
      </c>
      <c r="R17" s="848"/>
      <c r="S17" s="724"/>
    </row>
    <row r="18" spans="1:19" x14ac:dyDescent="0.2">
      <c r="A18" s="855" t="s">
        <v>381</v>
      </c>
      <c r="B18" s="860"/>
      <c r="C18" s="857">
        <v>0</v>
      </c>
      <c r="D18" s="857">
        <v>0</v>
      </c>
      <c r="E18" s="857">
        <f t="shared" si="0"/>
        <v>0</v>
      </c>
      <c r="F18" s="858">
        <v>0</v>
      </c>
      <c r="G18" s="858">
        <f t="shared" si="2"/>
        <v>0</v>
      </c>
      <c r="H18" s="859">
        <f t="shared" si="3"/>
        <v>0</v>
      </c>
      <c r="I18" s="849"/>
      <c r="J18" s="855" t="s">
        <v>381</v>
      </c>
      <c r="K18" s="860"/>
      <c r="L18" s="857">
        <v>0</v>
      </c>
      <c r="M18" s="857">
        <v>0</v>
      </c>
      <c r="N18" s="857">
        <f t="shared" si="1"/>
        <v>0</v>
      </c>
      <c r="O18" s="858">
        <v>0</v>
      </c>
      <c r="P18" s="858">
        <f t="shared" si="4"/>
        <v>0</v>
      </c>
      <c r="Q18" s="859">
        <f t="shared" si="5"/>
        <v>0</v>
      </c>
      <c r="R18" s="848"/>
      <c r="S18" s="724"/>
    </row>
    <row r="19" spans="1:19" x14ac:dyDescent="0.2">
      <c r="A19" s="855" t="s">
        <v>382</v>
      </c>
      <c r="B19" s="860"/>
      <c r="C19" s="857">
        <v>0</v>
      </c>
      <c r="D19" s="857">
        <v>0</v>
      </c>
      <c r="E19" s="857">
        <f t="shared" si="0"/>
        <v>0</v>
      </c>
      <c r="F19" s="858">
        <v>0</v>
      </c>
      <c r="G19" s="858">
        <f t="shared" si="2"/>
        <v>0</v>
      </c>
      <c r="H19" s="859">
        <f t="shared" si="3"/>
        <v>0</v>
      </c>
      <c r="I19" s="849"/>
      <c r="J19" s="855" t="s">
        <v>382</v>
      </c>
      <c r="K19" s="860"/>
      <c r="L19" s="857">
        <v>0</v>
      </c>
      <c r="M19" s="857">
        <v>0</v>
      </c>
      <c r="N19" s="857">
        <f t="shared" si="1"/>
        <v>0</v>
      </c>
      <c r="O19" s="858">
        <v>0</v>
      </c>
      <c r="P19" s="858">
        <f t="shared" si="4"/>
        <v>0</v>
      </c>
      <c r="Q19" s="859">
        <f t="shared" si="5"/>
        <v>0</v>
      </c>
      <c r="R19" s="848"/>
      <c r="S19" s="724"/>
    </row>
    <row r="20" spans="1:19" x14ac:dyDescent="0.2">
      <c r="A20" s="855" t="s">
        <v>383</v>
      </c>
      <c r="B20" s="856"/>
      <c r="C20" s="857">
        <v>0</v>
      </c>
      <c r="D20" s="857">
        <v>0</v>
      </c>
      <c r="E20" s="857">
        <f t="shared" si="0"/>
        <v>0</v>
      </c>
      <c r="F20" s="858">
        <v>0</v>
      </c>
      <c r="G20" s="858">
        <f t="shared" si="2"/>
        <v>0</v>
      </c>
      <c r="H20" s="859">
        <f t="shared" si="3"/>
        <v>0</v>
      </c>
      <c r="I20" s="849"/>
      <c r="J20" s="855" t="s">
        <v>383</v>
      </c>
      <c r="K20" s="856"/>
      <c r="L20" s="857">
        <v>0</v>
      </c>
      <c r="M20" s="857">
        <v>0</v>
      </c>
      <c r="N20" s="857">
        <f t="shared" si="1"/>
        <v>0</v>
      </c>
      <c r="O20" s="858">
        <v>0</v>
      </c>
      <c r="P20" s="858">
        <f t="shared" si="4"/>
        <v>0</v>
      </c>
      <c r="Q20" s="859">
        <f t="shared" si="5"/>
        <v>0</v>
      </c>
      <c r="R20" s="848"/>
      <c r="S20" s="724"/>
    </row>
    <row r="21" spans="1:19" x14ac:dyDescent="0.2">
      <c r="A21" s="855" t="s">
        <v>384</v>
      </c>
      <c r="B21" s="856"/>
      <c r="C21" s="857">
        <v>0</v>
      </c>
      <c r="D21" s="857">
        <v>0</v>
      </c>
      <c r="E21" s="857">
        <f t="shared" si="0"/>
        <v>0</v>
      </c>
      <c r="F21" s="858">
        <v>0</v>
      </c>
      <c r="G21" s="858">
        <f t="shared" si="2"/>
        <v>0</v>
      </c>
      <c r="H21" s="859">
        <f t="shared" si="3"/>
        <v>0</v>
      </c>
      <c r="I21" s="849"/>
      <c r="J21" s="855" t="s">
        <v>384</v>
      </c>
      <c r="K21" s="856"/>
      <c r="L21" s="857">
        <v>0</v>
      </c>
      <c r="M21" s="857">
        <v>0</v>
      </c>
      <c r="N21" s="857">
        <f t="shared" si="1"/>
        <v>0</v>
      </c>
      <c r="O21" s="858">
        <v>0</v>
      </c>
      <c r="P21" s="858">
        <f t="shared" si="4"/>
        <v>0</v>
      </c>
      <c r="Q21" s="859">
        <f t="shared" si="5"/>
        <v>0</v>
      </c>
      <c r="R21" s="848"/>
      <c r="S21" s="724"/>
    </row>
    <row r="22" spans="1:19" x14ac:dyDescent="0.2">
      <c r="A22" s="855" t="s">
        <v>385</v>
      </c>
      <c r="B22" s="856"/>
      <c r="C22" s="857">
        <v>0</v>
      </c>
      <c r="D22" s="857">
        <v>0</v>
      </c>
      <c r="E22" s="857">
        <f t="shared" si="0"/>
        <v>0</v>
      </c>
      <c r="F22" s="858">
        <v>0</v>
      </c>
      <c r="G22" s="858">
        <f t="shared" si="2"/>
        <v>0</v>
      </c>
      <c r="H22" s="859">
        <f t="shared" si="3"/>
        <v>0</v>
      </c>
      <c r="I22" s="849"/>
      <c r="J22" s="855" t="s">
        <v>385</v>
      </c>
      <c r="K22" s="856"/>
      <c r="L22" s="857">
        <v>0</v>
      </c>
      <c r="M22" s="857">
        <v>0</v>
      </c>
      <c r="N22" s="857">
        <f t="shared" si="1"/>
        <v>0</v>
      </c>
      <c r="O22" s="858">
        <v>0</v>
      </c>
      <c r="P22" s="858">
        <f t="shared" si="4"/>
        <v>0</v>
      </c>
      <c r="Q22" s="859">
        <f t="shared" si="5"/>
        <v>0</v>
      </c>
      <c r="R22" s="848"/>
      <c r="S22" s="724"/>
    </row>
    <row r="23" spans="1:19" x14ac:dyDescent="0.2">
      <c r="A23" s="855" t="s">
        <v>386</v>
      </c>
      <c r="B23" s="856"/>
      <c r="C23" s="857">
        <v>0</v>
      </c>
      <c r="D23" s="857">
        <v>0</v>
      </c>
      <c r="E23" s="857">
        <f t="shared" si="0"/>
        <v>0</v>
      </c>
      <c r="F23" s="858">
        <v>0</v>
      </c>
      <c r="G23" s="858">
        <f t="shared" si="2"/>
        <v>0</v>
      </c>
      <c r="H23" s="859">
        <f t="shared" si="3"/>
        <v>0</v>
      </c>
      <c r="I23" s="849"/>
      <c r="J23" s="855" t="s">
        <v>386</v>
      </c>
      <c r="K23" s="856"/>
      <c r="L23" s="857">
        <v>0</v>
      </c>
      <c r="M23" s="857">
        <v>0</v>
      </c>
      <c r="N23" s="857">
        <f t="shared" si="1"/>
        <v>0</v>
      </c>
      <c r="O23" s="858">
        <v>0</v>
      </c>
      <c r="P23" s="858">
        <f t="shared" si="4"/>
        <v>0</v>
      </c>
      <c r="Q23" s="859">
        <f t="shared" si="5"/>
        <v>0</v>
      </c>
      <c r="R23" s="848"/>
      <c r="S23" s="724"/>
    </row>
    <row r="24" spans="1:19" x14ac:dyDescent="0.2">
      <c r="A24" s="855" t="s">
        <v>387</v>
      </c>
      <c r="B24" s="856"/>
      <c r="C24" s="857">
        <v>0</v>
      </c>
      <c r="D24" s="857">
        <v>0</v>
      </c>
      <c r="E24" s="857">
        <f t="shared" si="0"/>
        <v>0</v>
      </c>
      <c r="F24" s="858">
        <v>0</v>
      </c>
      <c r="G24" s="858">
        <f t="shared" si="2"/>
        <v>0</v>
      </c>
      <c r="H24" s="859">
        <f t="shared" si="3"/>
        <v>0</v>
      </c>
      <c r="I24" s="849"/>
      <c r="J24" s="855" t="s">
        <v>387</v>
      </c>
      <c r="K24" s="856"/>
      <c r="L24" s="857">
        <v>0</v>
      </c>
      <c r="M24" s="857">
        <v>0</v>
      </c>
      <c r="N24" s="857">
        <f t="shared" si="1"/>
        <v>0</v>
      </c>
      <c r="O24" s="858">
        <v>0</v>
      </c>
      <c r="P24" s="858">
        <f t="shared" si="4"/>
        <v>0</v>
      </c>
      <c r="Q24" s="859">
        <f t="shared" si="5"/>
        <v>0</v>
      </c>
      <c r="R24" s="848"/>
      <c r="S24" s="724"/>
    </row>
    <row r="25" spans="1:19" x14ac:dyDescent="0.2">
      <c r="A25" s="855" t="s">
        <v>388</v>
      </c>
      <c r="B25" s="861"/>
      <c r="C25" s="862">
        <v>0</v>
      </c>
      <c r="D25" s="862">
        <v>0</v>
      </c>
      <c r="E25" s="862">
        <f t="shared" si="0"/>
        <v>0</v>
      </c>
      <c r="F25" s="858">
        <v>0</v>
      </c>
      <c r="G25" s="858">
        <f t="shared" si="2"/>
        <v>0</v>
      </c>
      <c r="H25" s="859">
        <f t="shared" si="3"/>
        <v>0</v>
      </c>
      <c r="I25" s="849"/>
      <c r="J25" s="855" t="s">
        <v>388</v>
      </c>
      <c r="K25" s="861"/>
      <c r="L25" s="862">
        <v>0</v>
      </c>
      <c r="M25" s="862">
        <v>0</v>
      </c>
      <c r="N25" s="862">
        <f t="shared" si="1"/>
        <v>0</v>
      </c>
      <c r="O25" s="858">
        <v>0</v>
      </c>
      <c r="P25" s="858">
        <f t="shared" si="4"/>
        <v>0</v>
      </c>
      <c r="Q25" s="859">
        <f t="shared" si="5"/>
        <v>0</v>
      </c>
      <c r="R25" s="848"/>
      <c r="S25" s="724"/>
    </row>
    <row r="26" spans="1:19" x14ac:dyDescent="0.2">
      <c r="A26" s="863" t="s">
        <v>390</v>
      </c>
      <c r="B26" s="864"/>
      <c r="C26" s="865">
        <v>0</v>
      </c>
      <c r="D26" s="865">
        <v>0</v>
      </c>
      <c r="E26" s="865">
        <f t="shared" si="0"/>
        <v>0</v>
      </c>
      <c r="F26" s="858">
        <v>0</v>
      </c>
      <c r="G26" s="858">
        <f t="shared" si="2"/>
        <v>0</v>
      </c>
      <c r="H26" s="859">
        <f t="shared" si="3"/>
        <v>0</v>
      </c>
      <c r="I26" s="849"/>
      <c r="J26" s="863" t="s">
        <v>390</v>
      </c>
      <c r="K26" s="864"/>
      <c r="L26" s="865">
        <v>0</v>
      </c>
      <c r="M26" s="865">
        <v>0</v>
      </c>
      <c r="N26" s="865">
        <f t="shared" si="1"/>
        <v>0</v>
      </c>
      <c r="O26" s="858">
        <v>0</v>
      </c>
      <c r="P26" s="858">
        <f t="shared" si="4"/>
        <v>0</v>
      </c>
      <c r="Q26" s="859">
        <f t="shared" si="5"/>
        <v>0</v>
      </c>
      <c r="R26" s="848"/>
      <c r="S26" s="724"/>
    </row>
    <row r="27" spans="1:19" x14ac:dyDescent="0.2">
      <c r="A27" s="863" t="s">
        <v>389</v>
      </c>
      <c r="B27" s="864"/>
      <c r="C27" s="865">
        <v>0</v>
      </c>
      <c r="D27" s="865">
        <v>0</v>
      </c>
      <c r="E27" s="865">
        <f t="shared" si="0"/>
        <v>0</v>
      </c>
      <c r="F27" s="858">
        <v>0</v>
      </c>
      <c r="G27" s="858">
        <f t="shared" si="2"/>
        <v>0</v>
      </c>
      <c r="H27" s="859">
        <f t="shared" si="3"/>
        <v>0</v>
      </c>
      <c r="I27" s="849"/>
      <c r="J27" s="863" t="s">
        <v>389</v>
      </c>
      <c r="K27" s="864"/>
      <c r="L27" s="865">
        <v>0</v>
      </c>
      <c r="M27" s="865">
        <v>0</v>
      </c>
      <c r="N27" s="865">
        <f t="shared" si="1"/>
        <v>0</v>
      </c>
      <c r="O27" s="858">
        <v>0</v>
      </c>
      <c r="P27" s="858">
        <f t="shared" si="4"/>
        <v>0</v>
      </c>
      <c r="Q27" s="859">
        <f t="shared" si="5"/>
        <v>0</v>
      </c>
      <c r="R27" s="848"/>
      <c r="S27" s="724"/>
    </row>
    <row r="28" spans="1:19" x14ac:dyDescent="0.2">
      <c r="A28" s="866" t="s">
        <v>253</v>
      </c>
      <c r="B28" s="867"/>
      <c r="C28" s="868">
        <f t="shared" ref="C28:H28" si="6">SUM(C13:C27)</f>
        <v>0</v>
      </c>
      <c r="D28" s="869">
        <f t="shared" si="6"/>
        <v>0</v>
      </c>
      <c r="E28" s="868">
        <f t="shared" si="6"/>
        <v>0</v>
      </c>
      <c r="F28" s="870">
        <f t="shared" si="6"/>
        <v>0</v>
      </c>
      <c r="G28" s="870">
        <f t="shared" si="6"/>
        <v>0</v>
      </c>
      <c r="H28" s="871">
        <f t="shared" si="6"/>
        <v>0</v>
      </c>
      <c r="I28" s="849"/>
      <c r="J28" s="866" t="s">
        <v>253</v>
      </c>
      <c r="K28" s="867"/>
      <c r="L28" s="868">
        <f t="shared" ref="L28:Q28" si="7">SUM(L13:L27)</f>
        <v>0</v>
      </c>
      <c r="M28" s="869">
        <f t="shared" si="7"/>
        <v>0</v>
      </c>
      <c r="N28" s="868">
        <f t="shared" si="7"/>
        <v>0</v>
      </c>
      <c r="O28" s="870">
        <f t="shared" si="7"/>
        <v>0</v>
      </c>
      <c r="P28" s="870">
        <f t="shared" si="7"/>
        <v>0</v>
      </c>
      <c r="Q28" s="871">
        <f t="shared" si="7"/>
        <v>0</v>
      </c>
      <c r="R28" s="848"/>
      <c r="S28" s="724"/>
    </row>
    <row r="29" spans="1:19" x14ac:dyDescent="0.2">
      <c r="A29" s="911"/>
      <c r="B29" s="911"/>
      <c r="C29" s="911"/>
      <c r="D29" s="911"/>
      <c r="E29" s="911"/>
      <c r="F29" s="911"/>
      <c r="G29" s="912">
        <f>IF(G28=0,G17,G28)</f>
        <v>0</v>
      </c>
      <c r="H29" s="913">
        <f>IF(H28=0,H17,H28)</f>
        <v>0</v>
      </c>
      <c r="I29" s="848"/>
      <c r="J29" s="872"/>
      <c r="K29" s="872"/>
      <c r="L29" s="872"/>
      <c r="M29" s="872"/>
      <c r="N29" s="872"/>
      <c r="O29" s="872"/>
      <c r="P29" s="872"/>
      <c r="Q29" s="873"/>
      <c r="R29" s="848"/>
      <c r="S29" s="724"/>
    </row>
    <row r="30" spans="1:19" ht="15" x14ac:dyDescent="0.2">
      <c r="A30" s="914" t="s">
        <v>233</v>
      </c>
      <c r="B30" s="915"/>
      <c r="C30" s="776">
        <v>0</v>
      </c>
      <c r="D30" s="777">
        <v>0</v>
      </c>
      <c r="E30" s="778">
        <f>D30*C30</f>
        <v>0</v>
      </c>
      <c r="F30" s="779">
        <v>0</v>
      </c>
      <c r="G30" s="916">
        <f>F30*E30</f>
        <v>0</v>
      </c>
      <c r="H30" s="917">
        <f>G30*1.19</f>
        <v>0</v>
      </c>
      <c r="I30" s="848"/>
      <c r="J30" s="874"/>
      <c r="K30" s="875"/>
      <c r="L30" s="875"/>
      <c r="M30" s="874"/>
      <c r="N30" s="875"/>
      <c r="O30" s="876"/>
      <c r="P30" s="875"/>
      <c r="Q30" s="848"/>
      <c r="R30" s="848"/>
      <c r="S30" s="724"/>
    </row>
    <row r="31" spans="1:19" ht="15" x14ac:dyDescent="0.2">
      <c r="A31" s="159"/>
      <c r="B31" s="159"/>
      <c r="C31" s="159"/>
      <c r="D31" s="159"/>
      <c r="E31" s="159"/>
      <c r="F31" s="159"/>
      <c r="G31" s="356"/>
      <c r="H31" s="724"/>
      <c r="I31" s="848"/>
      <c r="J31" s="877"/>
      <c r="K31" s="878"/>
      <c r="L31" s="878"/>
      <c r="M31" s="877"/>
      <c r="N31" s="878"/>
      <c r="O31" s="879"/>
      <c r="P31" s="878"/>
      <c r="Q31" s="848"/>
      <c r="R31" s="848"/>
      <c r="S31" s="724"/>
    </row>
    <row r="32" spans="1:19" ht="15" x14ac:dyDescent="0.2">
      <c r="A32" s="164" t="s">
        <v>344</v>
      </c>
      <c r="B32" s="159"/>
      <c r="C32" s="159"/>
      <c r="D32" s="159"/>
      <c r="E32" s="313"/>
      <c r="F32" s="359"/>
      <c r="G32" s="360">
        <f>ROUND(G29+G30,-3)</f>
        <v>0</v>
      </c>
      <c r="H32" s="771">
        <f>ROUND(H29+H30,-3)</f>
        <v>0</v>
      </c>
      <c r="I32" s="848"/>
      <c r="J32" s="880"/>
      <c r="K32" s="880"/>
      <c r="L32" s="880"/>
      <c r="M32" s="880"/>
      <c r="N32" s="880"/>
      <c r="O32" s="880"/>
      <c r="P32" s="880"/>
      <c r="Q32" s="848"/>
      <c r="R32" s="848"/>
      <c r="S32" s="724"/>
    </row>
    <row r="33" spans="1:19" ht="15" x14ac:dyDescent="0.2">
      <c r="A33" s="221" t="s">
        <v>234</v>
      </c>
      <c r="B33" s="163"/>
      <c r="C33" s="163"/>
      <c r="D33" s="163"/>
      <c r="E33" s="361">
        <f>Mindestumsatz!D77</f>
        <v>0.35</v>
      </c>
      <c r="F33" s="362"/>
      <c r="G33" s="358">
        <f>ROUND((G32*we*100)/(100-we*100),-3)</f>
        <v>0</v>
      </c>
      <c r="H33" s="772">
        <f>ROUND((H32*we*100)/(100-we*100),-3)</f>
        <v>0</v>
      </c>
      <c r="I33" s="848"/>
      <c r="J33" s="880"/>
      <c r="K33" s="880"/>
      <c r="L33" s="880"/>
      <c r="M33" s="880"/>
      <c r="N33" s="880"/>
      <c r="O33" s="881"/>
      <c r="P33" s="882"/>
      <c r="Q33" s="848"/>
      <c r="R33" s="848"/>
      <c r="S33" s="724"/>
    </row>
    <row r="34" spans="1:19" ht="15.75" x14ac:dyDescent="0.25">
      <c r="A34" s="187" t="s">
        <v>345</v>
      </c>
      <c r="B34" s="159"/>
      <c r="C34" s="159"/>
      <c r="D34" s="159"/>
      <c r="E34" s="159"/>
      <c r="F34" s="159"/>
      <c r="G34" s="363">
        <f>ROUND(G32+G33,-3)</f>
        <v>0</v>
      </c>
      <c r="H34" s="773">
        <f>ROUND(H32+H33,-3)</f>
        <v>0</v>
      </c>
      <c r="I34" s="848"/>
      <c r="J34" s="880"/>
      <c r="K34" s="880"/>
      <c r="L34" s="880"/>
      <c r="M34" s="880"/>
      <c r="N34" s="880"/>
      <c r="O34" s="881"/>
      <c r="P34" s="882"/>
      <c r="Q34" s="848"/>
      <c r="R34" s="848"/>
      <c r="S34" s="724"/>
    </row>
    <row r="35" spans="1:19" x14ac:dyDescent="0.2">
      <c r="H35" s="724"/>
      <c r="I35" s="848"/>
      <c r="J35" s="880"/>
      <c r="K35" s="880"/>
      <c r="L35" s="880"/>
      <c r="M35" s="880"/>
      <c r="N35" s="880"/>
      <c r="O35" s="881"/>
      <c r="P35" s="882"/>
      <c r="Q35" s="848"/>
      <c r="R35" s="848"/>
      <c r="S35" s="724"/>
    </row>
    <row r="36" spans="1:19" x14ac:dyDescent="0.2">
      <c r="H36" s="724"/>
      <c r="I36" s="848"/>
      <c r="J36" s="883"/>
      <c r="K36" s="883"/>
      <c r="L36" s="883"/>
      <c r="M36" s="883"/>
      <c r="N36" s="883"/>
      <c r="O36" s="884"/>
      <c r="P36" s="885"/>
      <c r="Q36" s="848"/>
      <c r="R36" s="848"/>
      <c r="S36" s="724"/>
    </row>
    <row r="37" spans="1:19" ht="15.75" x14ac:dyDescent="0.2">
      <c r="A37" s="364" t="s">
        <v>254</v>
      </c>
      <c r="B37" s="365"/>
      <c r="C37" s="365"/>
      <c r="D37" s="366"/>
      <c r="E37" s="365"/>
      <c r="F37" s="365"/>
      <c r="G37" s="365"/>
      <c r="H37" s="774"/>
      <c r="I37" s="886"/>
      <c r="J37" s="887"/>
      <c r="K37" s="883"/>
      <c r="L37" s="883"/>
      <c r="M37" s="888"/>
      <c r="N37" s="889"/>
      <c r="O37" s="885"/>
      <c r="P37" s="885"/>
      <c r="Q37" s="848"/>
      <c r="R37" s="848"/>
      <c r="S37" s="724"/>
    </row>
    <row r="38" spans="1:19" ht="15" x14ac:dyDescent="0.2">
      <c r="A38" s="159"/>
      <c r="B38" s="159"/>
      <c r="C38" s="159"/>
      <c r="D38" s="159"/>
      <c r="E38" s="159"/>
      <c r="F38" s="159"/>
      <c r="G38" s="159"/>
      <c r="H38" s="724"/>
      <c r="I38" s="848"/>
      <c r="J38" s="890"/>
      <c r="K38" s="890"/>
      <c r="L38" s="890"/>
      <c r="M38" s="890"/>
      <c r="N38" s="890"/>
      <c r="O38" s="890"/>
      <c r="P38" s="890"/>
      <c r="Q38" s="848"/>
      <c r="R38" s="848"/>
      <c r="S38" s="724"/>
    </row>
    <row r="39" spans="1:19" ht="15" x14ac:dyDescent="0.2">
      <c r="A39" s="367" t="s">
        <v>235</v>
      </c>
      <c r="B39" s="368"/>
      <c r="C39" s="369" t="s">
        <v>236</v>
      </c>
      <c r="D39" s="368"/>
      <c r="E39" s="367" t="s">
        <v>237</v>
      </c>
      <c r="F39" s="367" t="s">
        <v>238</v>
      </c>
      <c r="G39" s="368"/>
      <c r="H39" s="724"/>
      <c r="I39" s="848"/>
      <c r="J39" s="968" t="s">
        <v>267</v>
      </c>
      <c r="K39" s="891"/>
      <c r="L39" s="891"/>
      <c r="M39" s="892" t="s">
        <v>262</v>
      </c>
      <c r="N39" s="892"/>
      <c r="O39" s="893" t="s">
        <v>263</v>
      </c>
      <c r="P39" s="850" t="s">
        <v>391</v>
      </c>
      <c r="Q39" s="851" t="s">
        <v>392</v>
      </c>
      <c r="R39" s="848"/>
      <c r="S39" s="724"/>
    </row>
    <row r="40" spans="1:19" ht="15" x14ac:dyDescent="0.2">
      <c r="A40" s="370"/>
      <c r="B40" s="370"/>
      <c r="C40" s="206" t="s">
        <v>239</v>
      </c>
      <c r="D40" s="370"/>
      <c r="E40" s="206" t="s">
        <v>35</v>
      </c>
      <c r="F40" s="371" t="s">
        <v>240</v>
      </c>
      <c r="G40" s="370"/>
      <c r="H40" s="724"/>
      <c r="I40" s="848"/>
      <c r="J40" s="969"/>
      <c r="K40" s="894"/>
      <c r="L40" s="894"/>
      <c r="M40" s="895" t="s">
        <v>265</v>
      </c>
      <c r="N40" s="896" t="s">
        <v>253</v>
      </c>
      <c r="O40" s="896" t="s">
        <v>264</v>
      </c>
      <c r="P40" s="852"/>
      <c r="Q40" s="853"/>
      <c r="R40" s="848"/>
      <c r="S40" s="724"/>
    </row>
    <row r="41" spans="1:19" ht="15" x14ac:dyDescent="0.2">
      <c r="A41" s="372" t="s">
        <v>241</v>
      </c>
      <c r="B41" s="372"/>
      <c r="C41" s="373">
        <v>0</v>
      </c>
      <c r="D41" s="374"/>
      <c r="E41" s="373">
        <v>0</v>
      </c>
      <c r="F41" s="374">
        <f>C41+(C41*E41/100)</f>
        <v>0</v>
      </c>
      <c r="G41" s="375" t="s">
        <v>19</v>
      </c>
      <c r="H41" s="724"/>
      <c r="I41" s="848"/>
      <c r="J41" s="880"/>
      <c r="K41" s="880"/>
      <c r="L41" s="880"/>
      <c r="M41" s="880"/>
      <c r="N41" s="880"/>
      <c r="O41" s="880"/>
      <c r="P41" s="880"/>
      <c r="Q41" s="848"/>
      <c r="R41" s="848"/>
      <c r="S41" s="724"/>
    </row>
    <row r="42" spans="1:19" ht="15" x14ac:dyDescent="0.2">
      <c r="A42" s="372" t="s">
        <v>242</v>
      </c>
      <c r="B42" s="372"/>
      <c r="C42" s="373">
        <v>0</v>
      </c>
      <c r="D42" s="374"/>
      <c r="E42" s="373">
        <v>0</v>
      </c>
      <c r="F42" s="374">
        <f>C42+(C42*E42/100)</f>
        <v>0</v>
      </c>
      <c r="G42" s="375" t="s">
        <v>19</v>
      </c>
      <c r="H42" s="724"/>
      <c r="I42" s="848"/>
      <c r="J42" s="897" t="s">
        <v>266</v>
      </c>
      <c r="K42" s="897"/>
      <c r="L42" s="897">
        <v>0</v>
      </c>
      <c r="M42" s="897">
        <v>0</v>
      </c>
      <c r="N42" s="898">
        <f>M42*L42</f>
        <v>0</v>
      </c>
      <c r="O42" s="899">
        <v>0</v>
      </c>
      <c r="P42" s="899">
        <f>O42*N42</f>
        <v>0</v>
      </c>
      <c r="Q42" s="900">
        <f>P42*1.19</f>
        <v>0</v>
      </c>
      <c r="R42" s="848"/>
      <c r="S42" s="724"/>
    </row>
    <row r="43" spans="1:19" ht="15" x14ac:dyDescent="0.2">
      <c r="A43" s="376"/>
      <c r="B43" s="376"/>
      <c r="C43" s="373">
        <f>C41+C42</f>
        <v>0</v>
      </c>
      <c r="D43" s="374"/>
      <c r="E43" s="373"/>
      <c r="F43" s="374"/>
      <c r="G43" s="376"/>
      <c r="H43" s="724"/>
      <c r="I43" s="848"/>
      <c r="J43" s="901" t="s">
        <v>164</v>
      </c>
      <c r="K43" s="897"/>
      <c r="L43" s="897">
        <v>0</v>
      </c>
      <c r="M43" s="897">
        <v>0</v>
      </c>
      <c r="N43" s="898">
        <f>M43*L43</f>
        <v>0</v>
      </c>
      <c r="O43" s="899">
        <v>0</v>
      </c>
      <c r="P43" s="899">
        <f>O43*N43</f>
        <v>0</v>
      </c>
      <c r="Q43" s="900">
        <f t="shared" ref="Q43:Q45" si="8">P43*1.19</f>
        <v>0</v>
      </c>
      <c r="R43" s="848"/>
      <c r="S43" s="724"/>
    </row>
    <row r="44" spans="1:19" ht="15.75" x14ac:dyDescent="0.2">
      <c r="A44" s="187" t="s">
        <v>243</v>
      </c>
      <c r="B44" s="159"/>
      <c r="C44" s="226"/>
      <c r="D44" s="226"/>
      <c r="E44" s="226"/>
      <c r="F44" s="223">
        <f>SUM(F41:F42)</f>
        <v>0</v>
      </c>
      <c r="G44" s="187" t="s">
        <v>19</v>
      </c>
      <c r="H44" s="724"/>
      <c r="I44" s="848"/>
      <c r="J44" s="901" t="s">
        <v>231</v>
      </c>
      <c r="K44" s="897"/>
      <c r="L44" s="897">
        <v>0</v>
      </c>
      <c r="M44" s="897">
        <v>0</v>
      </c>
      <c r="N44" s="898">
        <f>M44*L44</f>
        <v>0</v>
      </c>
      <c r="O44" s="899">
        <v>0</v>
      </c>
      <c r="P44" s="899">
        <f>O44*N44</f>
        <v>0</v>
      </c>
      <c r="Q44" s="900">
        <f t="shared" si="8"/>
        <v>0</v>
      </c>
      <c r="R44" s="848"/>
      <c r="S44" s="724"/>
    </row>
    <row r="45" spans="1:19" ht="15.75" x14ac:dyDescent="0.2">
      <c r="A45" s="192" t="s">
        <v>244</v>
      </c>
      <c r="B45" s="192"/>
      <c r="C45" s="192"/>
      <c r="D45" s="192"/>
      <c r="E45" s="192"/>
      <c r="F45" s="377">
        <f>IF(F44=0,0,(F44-C43)/C43)</f>
        <v>0</v>
      </c>
      <c r="G45" s="159"/>
      <c r="H45" s="724"/>
      <c r="I45" s="848"/>
      <c r="J45" s="901" t="s">
        <v>168</v>
      </c>
      <c r="K45" s="897"/>
      <c r="L45" s="902">
        <v>0</v>
      </c>
      <c r="M45" s="902">
        <v>0</v>
      </c>
      <c r="N45" s="903">
        <f>M45*L45</f>
        <v>0</v>
      </c>
      <c r="O45" s="904">
        <v>0</v>
      </c>
      <c r="P45" s="904">
        <f>O45*N45</f>
        <v>0</v>
      </c>
      <c r="Q45" s="900">
        <f t="shared" si="8"/>
        <v>0</v>
      </c>
      <c r="R45" s="848"/>
      <c r="S45" s="724"/>
    </row>
    <row r="46" spans="1:19" ht="15" x14ac:dyDescent="0.2">
      <c r="A46" s="159"/>
      <c r="B46" s="159"/>
      <c r="C46" s="159"/>
      <c r="D46" s="159"/>
      <c r="E46" s="159"/>
      <c r="F46" s="159"/>
      <c r="G46" s="159"/>
      <c r="H46" s="724"/>
      <c r="I46" s="848"/>
      <c r="J46" s="905" t="s">
        <v>232</v>
      </c>
      <c r="K46" s="880"/>
      <c r="L46" s="880">
        <f t="shared" ref="L46:Q46" si="9">SUM(L42:L45)</f>
        <v>0</v>
      </c>
      <c r="M46" s="906">
        <f t="shared" si="9"/>
        <v>0</v>
      </c>
      <c r="N46" s="907">
        <f t="shared" si="9"/>
        <v>0</v>
      </c>
      <c r="O46" s="908">
        <f t="shared" si="9"/>
        <v>0</v>
      </c>
      <c r="P46" s="881">
        <f t="shared" si="9"/>
        <v>0</v>
      </c>
      <c r="Q46" s="909">
        <f t="shared" si="9"/>
        <v>0</v>
      </c>
      <c r="R46" s="848"/>
      <c r="S46" s="724"/>
    </row>
    <row r="47" spans="1:19" ht="15" x14ac:dyDescent="0.2">
      <c r="A47" s="159"/>
      <c r="B47" s="159"/>
      <c r="C47" s="159"/>
      <c r="D47" s="159"/>
      <c r="E47" s="159"/>
      <c r="F47" s="159"/>
      <c r="G47" s="159"/>
      <c r="H47" s="724"/>
      <c r="I47" s="848"/>
      <c r="J47" s="848"/>
      <c r="K47" s="848"/>
      <c r="L47" s="848"/>
      <c r="M47" s="848"/>
      <c r="N47" s="848"/>
      <c r="O47" s="848"/>
      <c r="P47" s="848"/>
      <c r="Q47" s="848"/>
      <c r="R47" s="848"/>
      <c r="S47" s="724"/>
    </row>
    <row r="48" spans="1:19" ht="15.75" x14ac:dyDescent="0.2">
      <c r="A48" s="685" t="s">
        <v>245</v>
      </c>
      <c r="B48" s="685"/>
      <c r="C48" s="685"/>
      <c r="D48" s="685"/>
      <c r="E48" s="685"/>
      <c r="F48" s="685"/>
      <c r="G48" s="685"/>
      <c r="H48" s="724"/>
      <c r="I48" s="910"/>
      <c r="J48" s="848"/>
      <c r="K48" s="848"/>
      <c r="L48" s="848"/>
      <c r="M48" s="848"/>
      <c r="N48" s="848"/>
      <c r="O48" s="848"/>
      <c r="P48" s="848"/>
      <c r="Q48" s="848"/>
      <c r="R48" s="848"/>
      <c r="S48" s="724"/>
    </row>
    <row r="49" spans="1:19" ht="15" x14ac:dyDescent="0.2">
      <c r="A49" s="211"/>
      <c r="B49" s="211"/>
      <c r="C49" s="211"/>
      <c r="D49" s="211"/>
      <c r="E49" s="211"/>
      <c r="F49" s="211"/>
      <c r="G49" s="211"/>
      <c r="H49" s="724"/>
      <c r="I49" s="848"/>
      <c r="J49" s="911"/>
      <c r="K49" s="911"/>
      <c r="L49" s="911"/>
      <c r="M49" s="911"/>
      <c r="N49" s="911"/>
      <c r="O49" s="911"/>
      <c r="P49" s="911"/>
      <c r="Q49" s="848"/>
      <c r="R49" s="848"/>
      <c r="S49" s="724"/>
    </row>
    <row r="50" spans="1:19" ht="15.75" x14ac:dyDescent="0.2">
      <c r="A50" s="211"/>
      <c r="B50" s="211"/>
      <c r="C50" s="211"/>
      <c r="D50" s="211"/>
      <c r="E50" s="378" t="s">
        <v>246</v>
      </c>
      <c r="F50" s="378" t="s">
        <v>247</v>
      </c>
      <c r="G50" s="379" t="s">
        <v>248</v>
      </c>
      <c r="H50" s="724"/>
      <c r="I50" s="848"/>
      <c r="J50" s="848"/>
      <c r="K50" s="848"/>
      <c r="L50" s="848"/>
      <c r="M50" s="848"/>
      <c r="N50" s="848"/>
      <c r="O50" s="848"/>
      <c r="P50" s="848"/>
      <c r="Q50" s="848"/>
      <c r="R50" s="848"/>
      <c r="S50" s="724"/>
    </row>
    <row r="51" spans="1:19" ht="15.75" x14ac:dyDescent="0.2">
      <c r="A51" s="159"/>
      <c r="B51" s="159"/>
      <c r="C51" s="159"/>
      <c r="D51" s="159"/>
      <c r="E51" s="162"/>
      <c r="F51" s="162"/>
      <c r="G51" s="380"/>
      <c r="H51" s="724"/>
      <c r="I51" s="848"/>
      <c r="J51" s="848"/>
      <c r="K51" s="848"/>
      <c r="L51" s="848"/>
      <c r="M51" s="848"/>
      <c r="N51" s="848"/>
      <c r="O51" s="848"/>
      <c r="P51" s="848"/>
      <c r="Q51" s="848"/>
      <c r="R51" s="848"/>
      <c r="S51" s="724"/>
    </row>
    <row r="52" spans="1:19" ht="15.75" x14ac:dyDescent="0.2">
      <c r="A52" s="381" t="s">
        <v>249</v>
      </c>
      <c r="B52" s="382" t="s">
        <v>250</v>
      </c>
      <c r="C52" s="383"/>
      <c r="D52" s="384"/>
      <c r="E52" s="385">
        <f>Rentabilitätsvorschau!N7</f>
        <v>189000</v>
      </c>
      <c r="F52" s="386">
        <f>G34</f>
        <v>0</v>
      </c>
      <c r="G52" s="387">
        <f>F52-E52</f>
        <v>-189000</v>
      </c>
      <c r="H52" s="724"/>
      <c r="I52" s="848"/>
      <c r="J52" s="848"/>
      <c r="K52" s="848"/>
      <c r="L52" s="848"/>
      <c r="M52" s="848"/>
      <c r="N52" s="848"/>
      <c r="O52" s="848"/>
      <c r="P52" s="848"/>
      <c r="Q52" s="848"/>
      <c r="R52" s="848"/>
      <c r="S52" s="724"/>
    </row>
    <row r="53" spans="1:19" ht="15.75" x14ac:dyDescent="0.2">
      <c r="A53" s="117"/>
      <c r="B53" s="117" t="s">
        <v>251</v>
      </c>
      <c r="C53" s="118"/>
      <c r="D53" s="388"/>
      <c r="E53" s="389">
        <f>Rentabilitätsvorschau!N10</f>
        <v>0</v>
      </c>
      <c r="F53" s="390">
        <f>F44</f>
        <v>0</v>
      </c>
      <c r="G53" s="391">
        <f>F53-E53</f>
        <v>0</v>
      </c>
      <c r="H53" s="724"/>
      <c r="I53" s="848"/>
      <c r="J53" s="848"/>
      <c r="K53" s="848"/>
      <c r="L53" s="848"/>
      <c r="M53" s="848"/>
      <c r="N53" s="848"/>
      <c r="O53" s="848"/>
      <c r="P53" s="848"/>
      <c r="Q53" s="848"/>
      <c r="R53" s="848"/>
      <c r="S53" s="724"/>
    </row>
    <row r="54" spans="1:19" ht="15.75" x14ac:dyDescent="0.2">
      <c r="A54" s="211"/>
      <c r="B54" s="116"/>
      <c r="C54" s="114"/>
      <c r="D54" s="115"/>
      <c r="E54" s="392"/>
      <c r="F54" s="392"/>
      <c r="G54" s="393"/>
      <c r="H54" s="724"/>
      <c r="I54" s="848"/>
      <c r="J54" s="848"/>
      <c r="K54" s="848"/>
      <c r="L54" s="848"/>
      <c r="M54" s="848"/>
      <c r="N54" s="848"/>
      <c r="O54" s="848"/>
      <c r="P54" s="848"/>
      <c r="Q54" s="848"/>
      <c r="R54" s="848"/>
      <c r="S54" s="724"/>
    </row>
    <row r="55" spans="1:19" ht="15.75" x14ac:dyDescent="0.2">
      <c r="A55" s="381" t="s">
        <v>252</v>
      </c>
      <c r="B55" s="382" t="s">
        <v>250</v>
      </c>
      <c r="C55" s="383"/>
      <c r="D55" s="384"/>
      <c r="E55" s="385">
        <f>Rentabilitätsvorschau!N7-Rentabilitätsvorschau!N8</f>
        <v>123000</v>
      </c>
      <c r="F55" s="386">
        <f>G32</f>
        <v>0</v>
      </c>
      <c r="G55" s="387">
        <f>F55-E55</f>
        <v>-123000</v>
      </c>
      <c r="H55" s="724"/>
      <c r="I55" s="848"/>
      <c r="J55" s="848"/>
      <c r="K55" s="848"/>
      <c r="L55" s="848"/>
      <c r="M55" s="848"/>
      <c r="N55" s="848"/>
      <c r="O55" s="848"/>
      <c r="P55" s="848"/>
      <c r="Q55" s="848"/>
      <c r="R55" s="848"/>
      <c r="S55" s="724"/>
    </row>
    <row r="56" spans="1:19" ht="15.75" x14ac:dyDescent="0.2">
      <c r="A56" s="117"/>
      <c r="B56" s="117" t="s">
        <v>251</v>
      </c>
      <c r="C56" s="118"/>
      <c r="D56" s="388"/>
      <c r="E56" s="389">
        <f>Rentabilitätsvorschau!N10-Rentabilitätsvorschau!N11</f>
        <v>0</v>
      </c>
      <c r="F56" s="390">
        <f>F44-C43</f>
        <v>0</v>
      </c>
      <c r="G56" s="391">
        <f>F56-E56</f>
        <v>0</v>
      </c>
      <c r="H56" s="724"/>
      <c r="I56" s="848"/>
      <c r="J56" s="848"/>
      <c r="K56" s="848"/>
      <c r="L56" s="848"/>
      <c r="M56" s="848"/>
      <c r="N56" s="848"/>
      <c r="O56" s="848"/>
      <c r="P56" s="848"/>
      <c r="Q56" s="848"/>
      <c r="R56" s="848"/>
      <c r="S56" s="724"/>
    </row>
    <row r="57" spans="1:19" ht="15.75" x14ac:dyDescent="0.2">
      <c r="A57" s="211"/>
      <c r="B57" s="116"/>
      <c r="C57" s="114"/>
      <c r="D57" s="115"/>
      <c r="E57" s="392"/>
      <c r="F57" s="392"/>
      <c r="G57" s="393"/>
      <c r="H57" s="724"/>
      <c r="I57" s="848"/>
      <c r="J57" s="848"/>
      <c r="K57" s="848"/>
      <c r="L57" s="848"/>
      <c r="M57" s="848"/>
      <c r="N57" s="848"/>
      <c r="O57" s="848"/>
      <c r="P57" s="848"/>
      <c r="Q57" s="848"/>
      <c r="R57" s="848"/>
      <c r="S57" s="724"/>
    </row>
    <row r="58" spans="1:19" ht="15.75" x14ac:dyDescent="0.2">
      <c r="A58" s="381" t="s">
        <v>249</v>
      </c>
      <c r="B58" s="382" t="s">
        <v>253</v>
      </c>
      <c r="C58" s="383"/>
      <c r="D58" s="384"/>
      <c r="E58" s="385">
        <f>Rentabilitätsvorschau!N13</f>
        <v>189000</v>
      </c>
      <c r="F58" s="385">
        <f>F52+F53</f>
        <v>0</v>
      </c>
      <c r="G58" s="387">
        <f>F58-E58</f>
        <v>-189000</v>
      </c>
      <c r="H58" s="724"/>
      <c r="I58" s="724"/>
      <c r="J58" s="724"/>
      <c r="K58" s="724"/>
      <c r="L58" s="724"/>
      <c r="M58" s="724"/>
      <c r="N58" s="724"/>
      <c r="O58" s="724"/>
      <c r="P58" s="724"/>
      <c r="Q58" s="724"/>
      <c r="R58" s="724"/>
      <c r="S58" s="724"/>
    </row>
    <row r="59" spans="1:19" ht="15.75" x14ac:dyDescent="0.2">
      <c r="A59" s="394" t="s">
        <v>252</v>
      </c>
      <c r="B59" s="117" t="s">
        <v>253</v>
      </c>
      <c r="C59" s="118"/>
      <c r="D59" s="388"/>
      <c r="E59" s="389">
        <f>Rentabilitätsvorschau!N16</f>
        <v>123000</v>
      </c>
      <c r="F59" s="389">
        <f>F55+F56</f>
        <v>0</v>
      </c>
      <c r="G59" s="391">
        <f>F59-E59</f>
        <v>-123000</v>
      </c>
      <c r="H59" s="724"/>
      <c r="I59" s="724"/>
      <c r="J59" s="724"/>
      <c r="K59" s="724"/>
      <c r="L59" s="724"/>
      <c r="M59" s="724"/>
      <c r="N59" s="724"/>
      <c r="O59" s="724"/>
      <c r="P59" s="724"/>
      <c r="Q59" s="724"/>
      <c r="R59" s="724"/>
      <c r="S59" s="724"/>
    </row>
    <row r="60" spans="1:19" x14ac:dyDescent="0.2">
      <c r="A60" s="724"/>
      <c r="B60" s="724"/>
      <c r="C60" s="724"/>
      <c r="D60" s="724"/>
      <c r="E60" s="724"/>
      <c r="F60" s="724"/>
      <c r="G60" s="724"/>
      <c r="H60" s="724"/>
      <c r="I60" s="724"/>
      <c r="J60" s="724"/>
      <c r="K60" s="724"/>
      <c r="L60" s="724"/>
      <c r="M60" s="724"/>
      <c r="N60" s="724"/>
      <c r="O60" s="724"/>
      <c r="P60" s="724"/>
      <c r="Q60" s="724"/>
      <c r="R60" s="724"/>
      <c r="S60" s="724"/>
    </row>
    <row r="61" spans="1:19" x14ac:dyDescent="0.2">
      <c r="A61" s="724"/>
      <c r="B61" s="724"/>
      <c r="C61" s="724"/>
      <c r="D61" s="724"/>
      <c r="E61" s="724"/>
      <c r="F61" s="724"/>
      <c r="G61" s="724"/>
      <c r="H61" s="724"/>
      <c r="I61" s="724"/>
      <c r="J61" s="724"/>
      <c r="K61" s="724"/>
      <c r="L61" s="724"/>
      <c r="M61" s="724"/>
      <c r="N61" s="724"/>
      <c r="O61" s="724"/>
      <c r="P61" s="724"/>
      <c r="Q61" s="724"/>
      <c r="R61" s="724"/>
      <c r="S61" s="724"/>
    </row>
  </sheetData>
  <sheetProtection password="C12A" sheet="1" objects="1" scenarios="1" selectLockedCells="1"/>
  <mergeCells count="8">
    <mergeCell ref="A1:H2"/>
    <mergeCell ref="J10:J11"/>
    <mergeCell ref="M10:M11"/>
    <mergeCell ref="O10:O11"/>
    <mergeCell ref="J39:J40"/>
    <mergeCell ref="A10:A11"/>
    <mergeCell ref="D10:D11"/>
    <mergeCell ref="F10:F11"/>
  </mergeCells>
  <pageMargins left="0.70866141732283472" right="0.70866141732283472" top="0.78740157480314965" bottom="0.78740157480314965" header="0.31496062992125984" footer="0.31496062992125984"/>
  <pageSetup paperSize="9" scale="6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7106" r:id="rId4" name="Option Button 2">
              <controlPr defaultSize="0" autoFill="0" autoLine="0" autoPict="0" macro="[0]!Leistung">
                <anchor moveWithCells="1">
                  <from>
                    <xdr:col>1</xdr:col>
                    <xdr:colOff>209550</xdr:colOff>
                    <xdr:row>6</xdr:row>
                    <xdr:rowOff>28575</xdr:rowOff>
                  </from>
                  <to>
                    <xdr:col>2</xdr:col>
                    <xdr:colOff>295275</xdr:colOff>
                    <xdr:row>6</xdr:row>
                    <xdr:rowOff>180975</xdr:rowOff>
                  </to>
                </anchor>
              </controlPr>
            </control>
          </mc:Choice>
        </mc:AlternateContent>
        <mc:AlternateContent xmlns:mc="http://schemas.openxmlformats.org/markup-compatibility/2006">
          <mc:Choice Requires="x14">
            <control shapeId="47108" r:id="rId5" name="Option Button 4">
              <controlPr defaultSize="0" autoFill="0" autoLine="0" autoPict="0" macro="[0]!Produktiv">
                <anchor moveWithCells="1">
                  <from>
                    <xdr:col>2</xdr:col>
                    <xdr:colOff>514350</xdr:colOff>
                    <xdr:row>6</xdr:row>
                    <xdr:rowOff>28575</xdr:rowOff>
                  </from>
                  <to>
                    <xdr:col>3</xdr:col>
                    <xdr:colOff>561975</xdr:colOff>
                    <xdr:row>6</xdr:row>
                    <xdr:rowOff>180975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Benannte Bereiche</vt:lpstr>
      </vt:variant>
      <vt:variant>
        <vt:i4>14</vt:i4>
      </vt:variant>
    </vt:vector>
  </HeadingPairs>
  <TitlesOfParts>
    <vt:vector size="27" baseType="lpstr">
      <vt:lpstr>Adresse</vt:lpstr>
      <vt:lpstr>Investitionsplan</vt:lpstr>
      <vt:lpstr>Finanzierungsplan</vt:lpstr>
      <vt:lpstr>Kapitaldienst Jahr 1-11</vt:lpstr>
      <vt:lpstr>Sicherheiten</vt:lpstr>
      <vt:lpstr>Private Ausgaben</vt:lpstr>
      <vt:lpstr>Mindestumsatz</vt:lpstr>
      <vt:lpstr>Rentabilitätsvorschau</vt:lpstr>
      <vt:lpstr>Prüfung</vt:lpstr>
      <vt:lpstr>Betriebsmittel</vt:lpstr>
      <vt:lpstr>Liquiditätsplan 1. Jahr</vt:lpstr>
      <vt:lpstr>Liquiditätsplan 2. Jahr </vt:lpstr>
      <vt:lpstr>Schlussbemerkung</vt:lpstr>
      <vt:lpstr>Adresse!Druckbereich</vt:lpstr>
      <vt:lpstr>Finanzierungsplan!Druckbereich</vt:lpstr>
      <vt:lpstr>Investitionsplan!Druckbereich</vt:lpstr>
      <vt:lpstr>'Kapitaldienst Jahr 1-11'!Druckbereich</vt:lpstr>
      <vt:lpstr>'Liquiditätsplan 1. Jahr'!Druckbereich</vt:lpstr>
      <vt:lpstr>'Liquiditätsplan 2. Jahr '!Druckbereich</vt:lpstr>
      <vt:lpstr>Mindestumsatz!Druckbereich</vt:lpstr>
      <vt:lpstr>Prüfung!Druckbereich</vt:lpstr>
      <vt:lpstr>Rentabilitätsvorschau!Druckbereich</vt:lpstr>
      <vt:lpstr>Schlussbemerkung!Druckbereich</vt:lpstr>
      <vt:lpstr>Sicherheiten!Druckbereich</vt:lpstr>
      <vt:lpstr>Laufzeit</vt:lpstr>
      <vt:lpstr>Mindestumsatz!tilgung2</vt:lpstr>
      <vt:lpstr>Prüfung!we</vt:lpstr>
    </vt:vector>
  </TitlesOfParts>
  <Company>Handwerkskammer Mannheim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MaderL</dc:creator>
  <cp:lastModifiedBy>Philipp Schetter</cp:lastModifiedBy>
  <cp:lastPrinted>2016-07-22T09:15:19Z</cp:lastPrinted>
  <dcterms:created xsi:type="dcterms:W3CDTF">2013-03-04T09:15:46Z</dcterms:created>
  <dcterms:modified xsi:type="dcterms:W3CDTF">2016-07-22T09:15:24Z</dcterms:modified>
</cp:coreProperties>
</file>